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10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97" i="1"/>
  <c r="G94" i="1"/>
  <c r="F94" i="1"/>
  <c r="K94" i="1"/>
  <c r="A119" i="1" l="1"/>
  <c r="A122" i="1"/>
  <c r="A118" i="1"/>
  <c r="A123" i="1"/>
  <c r="A141" i="1"/>
  <c r="A112" i="1"/>
  <c r="F102" i="1"/>
  <c r="A116" i="1"/>
  <c r="D110" i="1"/>
  <c r="A113" i="1"/>
  <c r="A105" i="1"/>
  <c r="A114" i="1"/>
  <c r="F110" i="1"/>
  <c r="A117" i="1"/>
  <c r="A109" i="1"/>
  <c r="A110" i="1"/>
  <c r="A111" i="1"/>
  <c r="A99" i="1"/>
  <c r="D118" i="1"/>
  <c r="A120" i="1"/>
  <c r="A124" i="1"/>
  <c r="A98" i="1"/>
  <c r="F134" i="1"/>
  <c r="A94" i="1"/>
  <c r="A95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<sst xmlns="http://schemas.openxmlformats.org/spreadsheetml/2006/main" count="576" uniqueCount="219">
  <si>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</si>
  <si>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</si>
  <si>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</si>
  <si>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</si>
  <si>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</si>
  <si>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</si>
  <si>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</si>
  <si>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</si>
  <si>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</si>
  <si>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</si>
  <si>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</si>
  <si>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</si>
  <si>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</si>
  <si>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</si>
  <si>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</si>
  <si>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</si>
  <si>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</si>
  <si>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</si>
  <si>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</si>
  <si>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</si>
  <si>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</si>
  <si>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</si>
  <si>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</si>
  <si>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</si>
  <si>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</si>
  <si>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</si>
  <si>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</si>
  <si>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</si>
  <si>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</si>
  <si>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</si>
  <si>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</si>
  <si>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</si>
  <si>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</si>
  <si>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</si>
  <si>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</si>
  <si>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</si>
  <si>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</si>
  <si>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</si>
  <si>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</si>
  <si>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</si>
  <si>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</si>
  <si>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</si>
  <si>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</si>
  <si>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</si>
  <si>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</si>
  <si>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</si>
  <si>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</si>
  <si>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</si>
  <si>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</si>
  <si>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</si>
  <si>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</si>
  <si>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</si>
  <si>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</si>
  <si>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</si>
  <si>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</si>
  <si>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</si>
  <si>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</si>
  <si>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</si>
  <si>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</si>
  <si>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</si>
  <si>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</si>
  <si>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</si>
  <si>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</si>
  <si>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</si>
  <si>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</si>
  <si>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</si>
  <si>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</si>
  <si>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</si>
  <si>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</si>
  <si>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</si>
  <si>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</si>
  <si>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</si>
  <si>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</si>
  <si>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</si>
  <si>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</si>
  <si>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</si>
  <si>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</si>
  <si>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</si>
  <si>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</si>
  <si>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</si>
  <si>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</si>
  <si>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</si>
  <si>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</si>
  <si>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</si>
  <si>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</si>
  <si>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</si>
  <si>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</si>
  <si>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</si>
  <si>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</si>
  <si>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</si>
  <si>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</si>
  <si>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</si>
  <si>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</si>
  <si>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</si>
  <si>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</si>
  <si>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</si>
  <si>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</si>
  <si>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</si>
  <si>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</si>
  <si>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</si>
  <si>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</si>
  <si>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</si>
  <si>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</si>
  <si>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</si>
  <si>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</si>
  <si>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</si>
  <si>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</si>
  <si>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</si>
  <si>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</si>
  <si>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</si>
  <si>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</si>
  <si>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</si>
  <si>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</si>
  <si>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</si>
  <si>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</si>
  <si>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</si>
  <si>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</si>
  <si>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</si>
  <si>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</si>
  <si>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</si>
  <si>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</si>
  <si>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</si>
  <si>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</si>
  <si>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</si>
  <si>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</si>
  <si>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</si>
  <si>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</si>
  <si>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</si>
  <si>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</si>
  <si>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</si>
  <si>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</si>
  <si>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</si>
  <si>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</si>
  <si>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</si>
  <si>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</si>
  <si>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</si>
  <si>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</si>
  <si>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</si>
  <si>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</si>
  <si>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</si>
  <si>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</si>
  <si>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</si>
  <si>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</si>
  <si>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</si>
  <si>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</si>
  <si>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</si>
  <si>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</si>
  <si>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</si>
  <si>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</si>
  <si>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</si>
  <si>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</si>
  <si>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</si>
  <si>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</si>
  <si>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</si>
  <si>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</si>
  <si>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</si>
  <si>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</si>
  <si>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</si>
  <si>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</si>
  <si>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</si>
  <si>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</si>
  <si>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</si>
  <si>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</si>
  <si>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</si>
  <si>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</si>
  <si>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</si>
  <si>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</si>
  <si>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</si>
  <si>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</si>
  <si>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</si>
  <si>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</si>
  <si>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</si>
  <si>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</si>
  <si>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</si>
  <si>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</si>
  <si>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</si>
  <si>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</si>
  <si>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</si>
  <si>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5/2</t>
  </si>
  <si>
    <t>Отчет об исполнении договора управления многоквартирного дома 
Румянцева, 5/2 в части текущего ремонта</t>
  </si>
  <si>
    <t>ежегодно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</si>
  <si>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</si>
  <si>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</si>
  <si>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</si>
  <si>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</si>
  <si>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</si>
  <si>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</si>
  <si>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</si>
  <si>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</si>
  <si>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</si>
  <si>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</si>
  <si>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</si>
  <si>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</si>
  <si>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</si>
  <si>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</si>
  <si>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 xml:space="preserve">  -  замена дефлектора 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</si>
  <si>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</si>
  <si>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</si>
  <si>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</si>
  <si>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</si>
  <si>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</si>
  <si>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Приобретение и замена светильников в подъезде (18 шт.)</t>
  </si>
  <si>
    <t>Приобретение и установка фотозавеса дверей кабины лифта.</t>
  </si>
  <si>
    <t>АВР 2/23 от 29.03.2023, Решение</t>
  </si>
  <si>
    <t>Замена шарового крана в водомерном узле (Ду 100).</t>
  </si>
  <si>
    <t>Замена входной двери в подъезд.</t>
  </si>
  <si>
    <t>Приобретение и замена шаровых кранов (Ду 15-2 шт.,65) и манометров (7 шт.).</t>
  </si>
  <si>
    <t>Ремонт асфальтного покрытия на придомовой территории.</t>
  </si>
  <si>
    <t>АВР 3/23 от 15.05.2023, Решение, счет №218 от 20.04.2023</t>
  </si>
  <si>
    <t>АВР 4/23 от 05.06.2023, Решение</t>
  </si>
  <si>
    <t>АВР 5/23 от 05.07.2023, Решение, счет №86 от 19.06.2023</t>
  </si>
  <si>
    <t>Благоустройство придомовой территории ( завоз перегноя и приобретение рассады).</t>
  </si>
  <si>
    <t>АВР 6/23 от 30.04.2023</t>
  </si>
  <si>
    <t>АВР 7/23 от 19.05.2023, Решение, счет №3681 от 19.05.2023</t>
  </si>
  <si>
    <t>АВР 8/23 от 25.04.2023, Решение, счет №55 от 25.04.2023</t>
  </si>
  <si>
    <t>АВР 9/23 от 05.07.2023, Решение, счет №5080 от 05.07.2023</t>
  </si>
  <si>
    <t>АВР 10/23 от 07.09.2023, Решение, счет №2 от 07.09.2023</t>
  </si>
  <si>
    <t>АВР 11/23 от 31.12.2023, Решение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</si>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</sst>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</cellStyleXfs>
  <cellXfs count="192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1" fontId="18" fillId="0" borderId="0" xfId="5" applyNumberForma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0" fillId="0" borderId="0" xfId="0" applyFill="1" applyBorder="1"/>
    <xf numFmtId="2" fontId="25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34" fillId="3" borderId="0" xfId="1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42" fillId="0" borderId="0" xfId="0" applyNumberFormat="1" applyFont="1"/>
    <xf numFmtId="4" fontId="24" fillId="0" borderId="0" xfId="1" applyNumberFormat="1" applyFont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/>
    <xf numFmtId="4" fontId="25" fillId="0" borderId="0" xfId="0" applyNumberFormat="1" applyFont="1"/>
    <xf numFmtId="0" fontId="32" fillId="0" borderId="0" xfId="5" applyFont="1" applyFill="1" applyBorder="1" applyAlignment="1"/>
    <xf numFmtId="0" fontId="18" fillId="0" borderId="0" xfId="5" applyFill="1" applyBorder="1" applyAlignment="1">
      <alignment horizontal="center"/>
    </xf>
    <xf numFmtId="4" fontId="18" fillId="0" borderId="0" xfId="5" applyNumberFormat="1" applyFill="1" applyBorder="1" applyAlignment="1"/>
    <xf numFmtId="4" fontId="32" fillId="0" borderId="0" xfId="5" applyNumberFormat="1" applyFont="1" applyFill="1" applyBorder="1" applyAlignment="1"/>
    <xf numFmtId="0" fontId="0" fillId="0" borderId="0" xfId="0" applyFill="1"/>
    <xf numFmtId="0" fontId="13" fillId="0" borderId="0" xfId="9" applyFont="1" applyFill="1" applyBorder="1" applyAlignment="1"/>
    <xf numFmtId="0" fontId="13" fillId="0" borderId="0" xfId="9" applyFont="1" applyFill="1" applyBorder="1" applyAlignment="1">
      <alignment horizontal="center"/>
    </xf>
    <xf numFmtId="0" fontId="17" fillId="0" borderId="0" xfId="9" applyNumberFormat="1" applyFill="1" applyBorder="1" applyAlignment="1">
      <alignment horizontal="center"/>
    </xf>
    <xf numFmtId="4" fontId="17" fillId="0" borderId="0" xfId="9" applyNumberFormat="1" applyFill="1" applyBorder="1" applyAlignment="1"/>
    <xf numFmtId="4" fontId="0" fillId="0" borderId="0" xfId="0" applyNumberFormat="1" applyFill="1"/>
    <xf numFmtId="0" fontId="12" fillId="0" borderId="0" xfId="5" applyFont="1" applyFill="1" applyBorder="1" applyAlignment="1">
      <alignment wrapText="1"/>
    </xf>
    <xf numFmtId="0" fontId="12" fillId="0" borderId="0" xfId="5" applyFont="1" applyFill="1" applyBorder="1" applyAlignment="1">
      <alignment horizontal="center"/>
    </xf>
    <xf numFmtId="0" fontId="3" fillId="0" borderId="0" xfId="4" applyFont="1" applyFill="1" applyBorder="1" applyAlignment="1"/>
    <xf numFmtId="0" fontId="10" fillId="0" borderId="0" xfId="5" applyFont="1" applyFill="1" applyBorder="1" applyAlignment="1">
      <alignment horizontal="center"/>
    </xf>
    <xf numFmtId="0" fontId="7" fillId="0" borderId="0" xfId="7" applyFont="1" applyFill="1" applyBorder="1" applyAlignment="1"/>
    <xf numFmtId="0" fontId="8" fillId="0" borderId="0" xfId="8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0" fontId="2" fillId="0" borderId="0" xfId="2" applyFont="1" applyFill="1" applyBorder="1" applyAlignment="1"/>
    <xf numFmtId="0" fontId="15" fillId="0" borderId="0" xfId="13" applyFont="1" applyFill="1" applyBorder="1" applyAlignment="1"/>
    <xf numFmtId="0" fontId="32" fillId="0" borderId="0" xfId="13" applyFont="1" applyFill="1" applyBorder="1" applyAlignment="1">
      <alignment horizontal="center"/>
    </xf>
    <xf numFmtId="4" fontId="32" fillId="0" borderId="0" xfId="13" applyNumberFormat="1" applyFont="1" applyFill="1" applyBorder="1" applyAlignment="1"/>
    <xf numFmtId="0" fontId="1" fillId="0" borderId="0" xfId="5" applyFont="1" applyFill="1" applyBorder="1"/>
    <xf numFmtId="0" fontId="9" fillId="0" borderId="0" xfId="7" applyFont="1" applyFill="1" applyBorder="1" applyAlignment="1"/>
    <xf numFmtId="0" fontId="9" fillId="0" borderId="0" xfId="8" applyFont="1" applyFill="1" applyBorder="1" applyAlignment="1">
      <alignment horizontal="center"/>
    </xf>
    <xf numFmtId="0" fontId="1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9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6"/>
    <cellStyle name="Обычный 2 4" xfId="10"/>
    <cellStyle name="Обычный 2 5" xfId="14"/>
    <cellStyle name="Обычный 3" xfId="2"/>
    <cellStyle name="Обычный 3 2" xfId="7"/>
    <cellStyle name="Обычный 3 3" xfId="11"/>
    <cellStyle name="Обычный 4" xfId="4"/>
    <cellStyle name="Обычный 4 2" xfId="8"/>
    <cellStyle name="Обычный 4 3" xfId="12"/>
    <cellStyle name="Обычный 5" xfId="5"/>
    <cellStyle name="Обычный 5 2" xfId="9"/>
    <cellStyle name="Обычный 5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8" t="s">
        <v>178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9"/>
      <c r="M8" s="109"/>
      <c r="N8" s="109"/>
      <c r="O8" s="70" t="s">
        <v>83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9"/>
      <c r="M9" s="109"/>
      <c r="N9" s="109"/>
      <c r="O9" s="70" t="s">
        <v>84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183202.61</v>
      </c>
      <c r="K10" s="109"/>
      <c r="L10" s="179"/>
      <c r="M10" s="109"/>
      <c r="N10" s="109"/>
      <c r="O10" s="70" t="s">
        <v>85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574872.5</v>
      </c>
      <c r="K11" s="109"/>
      <c r="L11" s="179"/>
      <c r="M11" s="109"/>
      <c r="N11" s="109"/>
      <c r="O11" s="70" t="s">
        <v>86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438868.1</v>
      </c>
      <c r="K12" s="109"/>
      <c r="L12" s="179"/>
      <c r="M12" s="109"/>
      <c r="N12" s="109"/>
      <c r="O12" s="70" t="s">
        <v>87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136004.4</v>
      </c>
      <c r="K13" s="109"/>
      <c r="L13" s="179"/>
      <c r="M13" s="109"/>
      <c r="N13" s="109"/>
      <c r="O13" s="70" t="s">
        <v>88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9"/>
      <c r="M14" s="109"/>
      <c r="N14" s="109"/>
      <c r="O14" s="70" t="s">
        <v>89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593911.94999999995</v>
      </c>
      <c r="K15" s="109"/>
      <c r="L15" s="179"/>
      <c r="M15" s="109"/>
      <c r="N15" s="109"/>
      <c r="O15" s="70" t="s">
        <v>90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593911.94999999995</v>
      </c>
      <c r="K16" s="109"/>
      <c r="L16" s="179"/>
      <c r="M16" s="109"/>
      <c r="N16" s="109"/>
      <c r="O16" s="70" t="s">
        <v>91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9"/>
      <c r="M17" s="109"/>
      <c r="N17" s="109"/>
      <c r="O17" s="70" t="s">
        <v>92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9"/>
      <c r="M18" s="109"/>
      <c r="N18" s="109"/>
      <c r="O18" s="70" t="s">
        <v>93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9"/>
      <c r="M19" s="109"/>
      <c r="N19" s="109"/>
      <c r="O19" s="70" t="s">
        <v>94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9"/>
      <c r="M20" s="109"/>
      <c r="N20" s="109"/>
      <c r="O20" s="70" t="s">
        <v>95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593911.94999999995</v>
      </c>
      <c r="K21" s="109"/>
      <c r="L21" s="179"/>
      <c r="M21" s="109"/>
      <c r="N21" s="109"/>
      <c r="O21" s="70" t="s">
        <v>96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9"/>
      <c r="M22" s="109"/>
      <c r="N22" s="109"/>
      <c r="O22" s="70" t="s">
        <v>97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9"/>
      <c r="M23" s="109"/>
      <c r="N23" s="109"/>
      <c r="O23" s="70" t="s">
        <v>98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164163.16000000003</v>
      </c>
      <c r="K24" s="109"/>
      <c r="L24" s="179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57</v>
      </c>
      <c r="I27" s="171" t="s">
        <v>21</v>
      </c>
      <c r="J27" s="171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130109.4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53859.24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42966.36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36309.599999999999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11800.68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54464.4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3"/>
      <c r="C35" s="163"/>
      <c r="D35" s="163"/>
      <c r="E35" s="163"/>
      <c r="F35" s="168">
        <f>VLOOKUP(A35,ПТО!$A$39:$D$53,2,FALSE)</f>
        <v>120729.48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0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0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0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0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0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0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0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0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освидетельствование лифта.</v>
      </c>
      <c r="B43" s="163"/>
      <c r="C43" s="163"/>
      <c r="D43" s="163"/>
      <c r="E43" s="163"/>
      <c r="F43" s="168">
        <f>VLOOKUP(A43,ПТО!$A$2:$D$31,4,FALSE)</f>
        <v>4100</v>
      </c>
      <c r="G43" s="168"/>
      <c r="H43" s="19" t="str">
        <f>VLOOKUP(A43,ПТО!$A$2:$D$31,2,FALSE)</f>
        <v>ежегодно</v>
      </c>
      <c r="I43" s="164">
        <f>VLOOKUP(A43,ПТО!$A$2:$D$31,3,FALSE)</f>
        <v>1</v>
      </c>
      <c r="J43" s="164"/>
      <c r="K43" s="109"/>
      <c r="L43" s="180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3" t="str">
        <f>ПТО!A3</f>
        <v>Техническое обслуживание охранной сигнализации.</v>
      </c>
      <c r="B44" s="163"/>
      <c r="C44" s="163"/>
      <c r="D44" s="163"/>
      <c r="E44" s="163"/>
      <c r="F44" s="168">
        <f>VLOOKUP(A44,ПТО!$A$2:$D$31,4,FALSE)</f>
        <v>4000</v>
      </c>
      <c r="G44" s="168"/>
      <c r="H44" s="25" t="str">
        <f>VLOOKUP(A44,ПТО!$A$2:$D$31,2,FALSE)</f>
        <v>ежемесячно</v>
      </c>
      <c r="I44" s="164">
        <f>VLOOKUP(A44,ПТО!$A$2:$D$31,3,FALSE)</f>
        <v>12</v>
      </c>
      <c r="J44" s="164"/>
      <c r="K44" s="109"/>
      <c r="L44" s="180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3" t="str">
        <f>ПТО!A4</f>
        <v>Механизированная уборка и вывоз снега с придомовой территории.</v>
      </c>
      <c r="B45" s="163"/>
      <c r="C45" s="163"/>
      <c r="D45" s="163"/>
      <c r="E45" s="163"/>
      <c r="F45" s="168">
        <f>VLOOKUP(A45,ПТО!$A$2:$D$31,4,FALSE)</f>
        <v>11100</v>
      </c>
      <c r="G45" s="168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0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3" t="str">
        <f>ПТО!A5</f>
        <v>Приобретение и замена светильников в подъезде (18 шт.)</v>
      </c>
      <c r="B46" s="163"/>
      <c r="C46" s="163"/>
      <c r="D46" s="163"/>
      <c r="E46" s="163"/>
      <c r="F46" s="168">
        <f>VLOOKUP(A46,ПТО!$A$2:$D$31,4,FALSE)</f>
        <v>31200</v>
      </c>
      <c r="G46" s="168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0"/>
      <c r="M46" s="115"/>
      <c r="N46" s="109"/>
      <c r="O46" s="23" t="str">
        <f t="shared" si="1"/>
        <v>Приобретение и замена светильников в подъезде (18 шт.)</v>
      </c>
      <c r="R46" s="22" t="s">
        <v>72</v>
      </c>
    </row>
    <row r="47" spans="1:18" ht="51" customHeight="1" outlineLevel="1">
      <c r="A47" s="163" t="str">
        <f>ПТО!A6</f>
        <v>Благоустройство придомовой территории ( завоз перегноя и приобретение рассады).</v>
      </c>
      <c r="B47" s="163"/>
      <c r="C47" s="163"/>
      <c r="D47" s="163"/>
      <c r="E47" s="163"/>
      <c r="F47" s="168">
        <f>VLOOKUP(A47,ПТО!$A$2:$D$31,4,FALSE)</f>
        <v>15500</v>
      </c>
      <c r="G47" s="168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0"/>
      <c r="M47" s="115"/>
      <c r="N47" s="109"/>
      <c r="O47" s="23" t="str">
        <f t="shared" si="1"/>
        <v>Благоустройство придомовой территории ( завоз перегноя и приобретение рассады).</v>
      </c>
      <c r="R47" s="22" t="s">
        <v>72</v>
      </c>
    </row>
    <row r="48" spans="1:18" ht="51" customHeight="1" outlineLevel="1">
      <c r="A48" s="163" t="str">
        <f>ПТО!A7</f>
        <v>Замена входной двери в подъезд.</v>
      </c>
      <c r="B48" s="163"/>
      <c r="C48" s="163"/>
      <c r="D48" s="163"/>
      <c r="E48" s="163"/>
      <c r="F48" s="168">
        <f>VLOOKUP(A48,ПТО!$A$2:$D$31,4,FALSE)</f>
        <v>47600</v>
      </c>
      <c r="G48" s="168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0"/>
      <c r="M48" s="115"/>
      <c r="N48" s="109"/>
      <c r="O48" s="23" t="str">
        <f t="shared" si="1"/>
        <v>Замена входной двери в подъезд.</v>
      </c>
      <c r="R48" s="22" t="s">
        <v>72</v>
      </c>
    </row>
    <row r="49" spans="1:18" ht="51" customHeight="1" outlineLevel="1">
      <c r="A49" s="163" t="str">
        <f>ПТО!A8</f>
        <v>Замена шарового крана в водомерном узле (Ду 100).</v>
      </c>
      <c r="B49" s="163"/>
      <c r="C49" s="163"/>
      <c r="D49" s="163"/>
      <c r="E49" s="163"/>
      <c r="F49" s="168">
        <f>VLOOKUP(A49,ПТО!$A$2:$D$31,4,FALSE)</f>
        <v>1287</v>
      </c>
      <c r="G49" s="168"/>
      <c r="H49" s="25" t="str">
        <f>VLOOKUP(A49,ПТО!$A$2:$D$31,2,FALSE)</f>
        <v>разово</v>
      </c>
      <c r="I49" s="164">
        <f>VLOOKUP(A49,ПТО!$A$2:$D$31,3,FALSE)</f>
        <v>1</v>
      </c>
      <c r="J49" s="164"/>
      <c r="K49" s="109"/>
      <c r="L49" s="180"/>
      <c r="M49" s="115"/>
      <c r="N49" s="109"/>
      <c r="O49" s="23" t="str">
        <f t="shared" si="1"/>
        <v>Замена шарового крана в водомерном узле (Ду 100).</v>
      </c>
      <c r="R49" s="22" t="s">
        <v>72</v>
      </c>
    </row>
    <row r="50" spans="1:18" ht="51" customHeight="1" outlineLevel="1">
      <c r="A50" s="163" t="str">
        <f>ПТО!A9</f>
        <v>Приобретение и установка фотозавеса дверей кабины лифта.</v>
      </c>
      <c r="B50" s="163"/>
      <c r="C50" s="163"/>
      <c r="D50" s="163"/>
      <c r="E50" s="163"/>
      <c r="F50" s="168">
        <f>VLOOKUP(A50,ПТО!$A$2:$D$31,4,FALSE)</f>
        <v>24800</v>
      </c>
      <c r="G50" s="168"/>
      <c r="H50" s="25" t="str">
        <f>VLOOKUP(A50,ПТО!$A$2:$D$31,2,FALSE)</f>
        <v>разово</v>
      </c>
      <c r="I50" s="164">
        <f>VLOOKUP(A50,ПТО!$A$2:$D$31,3,FALSE)</f>
        <v>1</v>
      </c>
      <c r="J50" s="164"/>
      <c r="K50" s="109"/>
      <c r="L50" s="180"/>
      <c r="M50" s="115"/>
      <c r="N50" s="109"/>
      <c r="O50" s="23" t="str">
        <f t="shared" si="1"/>
        <v>Приобретение и установка фотозавеса дверей кабины лифта.</v>
      </c>
      <c r="R50" s="22" t="s">
        <v>72</v>
      </c>
    </row>
    <row r="51" spans="1:18" ht="51" customHeight="1" outlineLevel="1">
      <c r="A51" s="163" t="str">
        <f>ПТО!A10</f>
        <v>Приобретение и замена шаровых кранов (Ду 15-2 шт.,65) и манометров (7 шт.).</v>
      </c>
      <c r="B51" s="163"/>
      <c r="C51" s="163"/>
      <c r="D51" s="163"/>
      <c r="E51" s="163"/>
      <c r="F51" s="168">
        <f>VLOOKUP(A51,ПТО!$A$2:$D$31,4,FALSE)</f>
        <v>1891.99</v>
      </c>
      <c r="G51" s="168"/>
      <c r="H51" s="25" t="str">
        <f>VLOOKUP(A51,ПТО!$A$2:$D$31,2,FALSE)</f>
        <v>разово</v>
      </c>
      <c r="I51" s="164">
        <f>VLOOKUP(A51,ПТО!$A$2:$D$31,3,FALSE)</f>
        <v>1</v>
      </c>
      <c r="J51" s="164"/>
      <c r="K51" s="109"/>
      <c r="L51" s="180"/>
      <c r="M51" s="115"/>
      <c r="N51" s="109"/>
      <c r="O51" s="23" t="str">
        <f t="shared" si="1"/>
        <v>Приобретение и замена шаровых кранов (Ду 15-2 шт.,65) и манометров (7 шт.).</v>
      </c>
      <c r="R51" s="22" t="s">
        <v>72</v>
      </c>
    </row>
    <row r="52" spans="1:18" ht="51" customHeight="1" outlineLevel="1">
      <c r="A52" s="163" t="str">
        <f>ПТО!A11</f>
        <v>Ремонт асфальтного покрытия на придомовой территории.</v>
      </c>
      <c r="B52" s="163"/>
      <c r="C52" s="163"/>
      <c r="D52" s="163"/>
      <c r="E52" s="163"/>
      <c r="F52" s="168">
        <f>VLOOKUP(A52,ПТО!$A$2:$D$31,4,FALSE)</f>
        <v>183372.2</v>
      </c>
      <c r="G52" s="168"/>
      <c r="H52" s="25" t="str">
        <f>VLOOKUP(A52,ПТО!$A$2:$D$31,2,FALSE)</f>
        <v>разово</v>
      </c>
      <c r="I52" s="164">
        <f>VLOOKUP(A52,ПТО!$A$2:$D$31,3,FALSE)</f>
        <v>1</v>
      </c>
      <c r="J52" s="164"/>
      <c r="K52" s="109"/>
      <c r="L52" s="180"/>
      <c r="M52" s="115"/>
      <c r="N52" s="109"/>
      <c r="O52" s="23" t="str">
        <f t="shared" si="1"/>
        <v>Ремонт асфальтного покрытия на придомовой территории.</v>
      </c>
      <c r="R52" s="22" t="s">
        <v>72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8" t="e">
        <f>VLOOKUP(A53,ПТО!$A$2:$D$31,4,FALSE)</f>
        <v>#N/A</v>
      </c>
      <c r="G53" s="168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0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0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0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0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0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0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0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0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0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0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0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0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0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0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0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0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0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0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5"/>
      <c r="L71" s="180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0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83"/>
      <c r="M75" s="109"/>
      <c r="N75" s="109"/>
      <c r="O75" s="70" t="s">
        <v>100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83"/>
      <c r="M76" s="109"/>
      <c r="N76" s="109"/>
      <c r="O76" s="70" t="s">
        <v>101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83"/>
      <c r="M77" s="109"/>
      <c r="N77" s="109"/>
      <c r="O77" s="70" t="s">
        <v>102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83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104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69"/>
      <c r="M82" s="109"/>
      <c r="N82" s="109"/>
      <c r="O82" s="70" t="s">
        <v>105</v>
      </c>
    </row>
    <row r="83" spans="1:15" outlineLevel="1">
      <c r="A83" s="175" t="s">
        <v>4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60960.93</v>
      </c>
      <c r="K83" s="109"/>
      <c r="L83" s="169"/>
      <c r="M83" s="109"/>
      <c r="N83" s="109"/>
      <c r="O83" s="70" t="s">
        <v>106</v>
      </c>
    </row>
    <row r="84" spans="1:15" outlineLevel="1">
      <c r="A84" s="175" t="s">
        <v>16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69"/>
      <c r="M84" s="109"/>
      <c r="N84" s="109"/>
      <c r="O84" s="70" t="s">
        <v>107</v>
      </c>
    </row>
    <row r="85" spans="1:15" outlineLevel="1">
      <c r="A85" s="175" t="s">
        <v>17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69"/>
      <c r="M85" s="109"/>
      <c r="N85" s="109"/>
      <c r="O85" s="70" t="s">
        <v>108</v>
      </c>
    </row>
    <row r="86" spans="1:15" outlineLevel="1">
      <c r="A86" s="175" t="s">
        <v>18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13323.44</v>
      </c>
      <c r="K86" s="109"/>
      <c r="L86" s="169"/>
      <c r="M86" s="109"/>
      <c r="N86" s="109"/>
      <c r="O86" s="70" t="s">
        <v>109</v>
      </c>
    </row>
    <row r="87" spans="1:15" ht="18.75" customHeight="1" outlineLevel="1">
      <c r="A87" s="175" t="s">
        <v>27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69"/>
      <c r="M87" s="109"/>
      <c r="N87" s="109"/>
      <c r="O87" s="70" t="s">
        <v>110</v>
      </c>
    </row>
    <row r="88" spans="1:15" ht="18.75" customHeight="1" outlineLevel="1">
      <c r="A88" s="175" t="s">
        <v>28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69"/>
      <c r="M88" s="109"/>
      <c r="N88" s="109"/>
      <c r="O88" s="70" t="s">
        <v>111</v>
      </c>
    </row>
    <row r="89" spans="1:15" ht="18.75" customHeight="1" outlineLevel="1">
      <c r="A89" s="175" t="s">
        <v>29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69"/>
      <c r="M89" s="109"/>
      <c r="N89" s="109"/>
      <c r="O89" s="70" t="s">
        <v>112</v>
      </c>
    </row>
    <row r="90" spans="1:15" ht="18.75" customHeight="1" outlineLevel="1">
      <c r="A90" s="175" t="s">
        <v>30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69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4" t="s">
        <v>48</v>
      </c>
      <c r="B93" s="184"/>
      <c r="C93" s="184"/>
      <c r="D93" s="185" t="s">
        <v>49</v>
      </c>
      <c r="E93" s="185"/>
      <c r="F93" s="10" t="s">
        <v>50</v>
      </c>
      <c r="G93" s="184" t="s">
        <v>51</v>
      </c>
      <c r="H93" s="184"/>
      <c r="I93" s="184"/>
      <c r="J93" s="184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6" t="str">
        <f>IF(VLOOKUP("эл",АО,3,FALSE)&gt;0,VLOOKUP("эл",АО,3,FALSE),0)</f>
        <v>Предоставляется</v>
      </c>
      <c r="E94" s="166"/>
      <c r="F94" s="13" t="str">
        <f>IF(VLOOKUP("эл",АО,3,FALSE)&gt;0,VLOOKUP("эл",АО,4,FALSE),0)</f>
        <v>кВт*ч</v>
      </c>
      <c r="G94" s="167">
        <f>VLOOKUP("эл",АО,5,FALSE)</f>
        <v>147268.16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108285.41</v>
      </c>
      <c r="L95" s="170"/>
      <c r="O95" s="1" t="s">
        <v>114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177749.72</v>
      </c>
      <c r="L96" s="170"/>
      <c r="O96" s="1" t="s">
        <v>115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116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147268.16</v>
      </c>
      <c r="L98" s="170"/>
      <c r="O98" s="1" t="s">
        <v>117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147268.16</v>
      </c>
      <c r="L99" s="170"/>
      <c r="O99" s="1" t="s">
        <v>118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119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120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87851.44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6029.61</v>
      </c>
      <c r="L103" s="170"/>
      <c r="O103" s="1" t="s">
        <v>123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96043.89</v>
      </c>
      <c r="L104" s="170"/>
      <c r="O104" s="1" t="s">
        <v>124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0</v>
      </c>
      <c r="L105" s="170"/>
      <c r="O105" s="1" t="s">
        <v>125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87851.44</v>
      </c>
      <c r="L106" s="170"/>
      <c r="O106" s="1" t="s">
        <v>126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87851.44</v>
      </c>
      <c r="L107" s="170"/>
      <c r="O107" s="1" t="s">
        <v>127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128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129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106822.42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6031.76</v>
      </c>
      <c r="L111" s="170"/>
      <c r="O111" s="1" t="s">
        <v>131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115785.9</v>
      </c>
      <c r="L112" s="170"/>
      <c r="O112" s="1" t="s">
        <v>132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0</v>
      </c>
      <c r="L113" s="170"/>
      <c r="O113" s="1" t="s">
        <v>133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106822.42</v>
      </c>
      <c r="L114" s="170"/>
      <c r="O114" s="1" t="s">
        <v>134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106822.42</v>
      </c>
      <c r="L115" s="170"/>
      <c r="O115" s="1" t="s">
        <v>135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136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137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6">
        <f>IF(VLOOKUP("тко",АО,3,FALSE)&gt;0,VLOOKUP("тко",АО,3,FALSE),0)</f>
        <v>0</v>
      </c>
      <c r="E118" s="166"/>
      <c r="F118" s="13">
        <f>IF(VLOOKUP("тко",АО,3,FALSE)&gt;0,VLOOKUP("тко",АО,4,FALSE),0)</f>
        <v>0</v>
      </c>
      <c r="G118" s="167">
        <f>VLOOKUP("тко",АО,5,FALSE)</f>
        <v>0</v>
      </c>
      <c r="H118" s="166"/>
      <c r="I118" s="166"/>
      <c r="J118" s="166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171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1" t="s">
        <v>174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23000</v>
      </c>
      <c r="O146" t="s">
        <v>173</v>
      </c>
    </row>
    <row r="149" spans="1:15" ht="52.5" customHeight="1">
      <c r="A149" s="186" t="s">
        <v>179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8" t="s">
        <v>196</v>
      </c>
      <c r="B154" s="188"/>
      <c r="C154" s="188"/>
      <c r="D154" s="188"/>
      <c r="E154" s="27">
        <f>ПТО!G1</f>
        <v>-311038.90999999997</v>
      </c>
    </row>
    <row r="155" spans="1:15" ht="34.5" customHeight="1">
      <c r="A155" s="187" t="s">
        <v>197</v>
      </c>
      <c r="B155" s="187"/>
      <c r="C155" s="187"/>
      <c r="D155" s="187"/>
      <c r="E155" s="28">
        <f>J13</f>
        <v>136004.4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57</v>
      </c>
      <c r="I157" s="171" t="s">
        <v>21</v>
      </c>
      <c r="J157" s="171"/>
    </row>
    <row r="158" spans="1:15" ht="29.25" customHeight="1">
      <c r="A158" s="163" t="str">
        <f t="shared" ref="A158:A163" si="14">IF(N158&gt;0,N158,0)</f>
        <v>Техническое освидетельствование лифта.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4100</v>
      </c>
      <c r="G158" s="168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1</v>
      </c>
      <c r="J158" s="16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3" t="str">
        <f t="shared" si="14"/>
        <v>Техническое обслуживание охранной сигнализации.</v>
      </c>
      <c r="B159" s="163"/>
      <c r="C159" s="163"/>
      <c r="D159" s="163"/>
      <c r="E159" s="163"/>
      <c r="F159" s="168">
        <f t="shared" si="15"/>
        <v>4000</v>
      </c>
      <c r="G159" s="168"/>
      <c r="H159" s="24" t="str">
        <f t="shared" si="16"/>
        <v>ежемесячно</v>
      </c>
      <c r="I159" s="164">
        <f t="shared" si="17"/>
        <v>12</v>
      </c>
      <c r="J159" s="16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3" t="str">
        <f t="shared" si="14"/>
        <v>Механизированная уборка и вывоз снега с придомовой территории.</v>
      </c>
      <c r="B160" s="163"/>
      <c r="C160" s="163"/>
      <c r="D160" s="163"/>
      <c r="E160" s="163"/>
      <c r="F160" s="168">
        <f t="shared" si="15"/>
        <v>11100</v>
      </c>
      <c r="G160" s="168"/>
      <c r="H160" s="24" t="str">
        <f t="shared" si="16"/>
        <v>разово</v>
      </c>
      <c r="I160" s="164">
        <f t="shared" si="17"/>
        <v>1</v>
      </c>
      <c r="J160" s="164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3" t="str">
        <f>IF(N161&gt;0,N161,0)</f>
        <v>Приобретение и замена светильников в подъезде (18 шт.)</v>
      </c>
      <c r="B161" s="163"/>
      <c r="C161" s="163"/>
      <c r="D161" s="163"/>
      <c r="E161" s="163"/>
      <c r="F161" s="168">
        <f t="shared" si="15"/>
        <v>31200</v>
      </c>
      <c r="G161" s="168"/>
      <c r="H161" s="24" t="str">
        <f t="shared" si="16"/>
        <v>разово</v>
      </c>
      <c r="I161" s="164">
        <f t="shared" si="17"/>
        <v>1</v>
      </c>
      <c r="J161" s="164"/>
      <c r="M161" s="22" t="s">
        <v>72</v>
      </c>
      <c r="N161" s="1" t="str">
        <v>Приобретение и замена светильников в подъезде (18 шт.)</v>
      </c>
    </row>
    <row r="162" spans="1:14" ht="28.5" customHeight="1">
      <c r="A162" s="163" t="str">
        <f t="shared" si="14"/>
        <v>Благоустройство придомовой территории ( завоз перегноя и приобретение рассады).</v>
      </c>
      <c r="B162" s="163"/>
      <c r="C162" s="163"/>
      <c r="D162" s="163"/>
      <c r="E162" s="163"/>
      <c r="F162" s="168">
        <f t="shared" si="15"/>
        <v>15500</v>
      </c>
      <c r="G162" s="168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72</v>
      </c>
      <c r="N162" s="1" t="str">
        <v>Благоустройство придомовой территории ( завоз перегноя и приобретение рассады).</v>
      </c>
    </row>
    <row r="163" spans="1:14" ht="28.5" customHeight="1">
      <c r="A163" s="163" t="str">
        <f t="shared" si="14"/>
        <v>Замена входной двери в подъезд.</v>
      </c>
      <c r="B163" s="163"/>
      <c r="C163" s="163"/>
      <c r="D163" s="163"/>
      <c r="E163" s="163"/>
      <c r="F163" s="168">
        <f t="shared" si="15"/>
        <v>47600</v>
      </c>
      <c r="G163" s="168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72</v>
      </c>
      <c r="N163" s="1" t="str">
        <v>Замена входной двери в подъезд.</v>
      </c>
    </row>
    <row r="164" spans="1:14" ht="28.5" customHeight="1">
      <c r="A164" s="163" t="str">
        <f t="shared" ref="A164:A187" si="18">IF(N164&gt;0,N164,0)</f>
        <v>Замена шарового крана в водомерном узле (Ду 100).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1287</v>
      </c>
      <c r="G164" s="168"/>
      <c r="H164" s="29" t="str">
        <f t="shared" si="16"/>
        <v>разово</v>
      </c>
      <c r="I164" s="164">
        <f t="shared" ref="I164:I187" si="20">VLOOKUP(A164,$A$28:$J$72,9,FALSE)</f>
        <v>1</v>
      </c>
      <c r="J164" s="164"/>
      <c r="M164" s="22" t="s">
        <v>72</v>
      </c>
      <c r="N164" s="1" t="str">
        <v>Замена шарового крана в водомерном узле (Ду 100).</v>
      </c>
    </row>
    <row r="165" spans="1:14" ht="28.5" customHeight="1">
      <c r="A165" s="163" t="str">
        <f t="shared" si="18"/>
        <v>Приобретение и установка фотозавеса дверей кабины лифта.</v>
      </c>
      <c r="B165" s="163"/>
      <c r="C165" s="163"/>
      <c r="D165" s="163"/>
      <c r="E165" s="163"/>
      <c r="F165" s="168">
        <f t="shared" si="19"/>
        <v>24800</v>
      </c>
      <c r="G165" s="168"/>
      <c r="H165" s="29" t="str">
        <f t="shared" si="16"/>
        <v>разово</v>
      </c>
      <c r="I165" s="164">
        <f t="shared" si="20"/>
        <v>1</v>
      </c>
      <c r="J165" s="164"/>
      <c r="M165" s="22" t="s">
        <v>72</v>
      </c>
      <c r="N165" s="1" t="str">
        <v>Приобретение и установка фотозавеса дверей кабины лифта.</v>
      </c>
    </row>
    <row r="166" spans="1:14" ht="28.5" customHeight="1">
      <c r="A166" s="163" t="str">
        <f t="shared" si="18"/>
        <v>Приобретение и замена шаровых кранов (Ду 15-2 шт.,65) и манометров (7 шт.).</v>
      </c>
      <c r="B166" s="163"/>
      <c r="C166" s="163"/>
      <c r="D166" s="163"/>
      <c r="E166" s="163"/>
      <c r="F166" s="168">
        <f t="shared" si="19"/>
        <v>1891.99</v>
      </c>
      <c r="G166" s="168"/>
      <c r="H166" s="29" t="str">
        <f t="shared" si="16"/>
        <v>разово</v>
      </c>
      <c r="I166" s="164">
        <f t="shared" si="20"/>
        <v>1</v>
      </c>
      <c r="J166" s="164"/>
      <c r="M166" s="22" t="s">
        <v>72</v>
      </c>
      <c r="N166" s="1" t="str">
        <v>Приобретение и замена шаровых кранов (Ду 15-2 шт.,65) и манометров (7 шт.).</v>
      </c>
    </row>
    <row r="167" spans="1:14" ht="28.5" customHeight="1">
      <c r="A167" s="163" t="str">
        <f t="shared" si="18"/>
        <v>Ремонт асфальтного покрытия на придомовой территории.</v>
      </c>
      <c r="B167" s="163"/>
      <c r="C167" s="163"/>
      <c r="D167" s="163"/>
      <c r="E167" s="163"/>
      <c r="F167" s="168">
        <f t="shared" si="19"/>
        <v>183372.2</v>
      </c>
      <c r="G167" s="168"/>
      <c r="H167" s="29" t="str">
        <f t="shared" si="16"/>
        <v>разово</v>
      </c>
      <c r="I167" s="164">
        <f t="shared" si="20"/>
        <v>1</v>
      </c>
      <c r="J167" s="164"/>
      <c r="M167" s="22" t="s">
        <v>72</v>
      </c>
      <c r="N167" s="1" t="str">
        <v>Ремонт асфальтного покрытия на придомовой территории.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8">
        <f t="shared" si="19"/>
        <v>0</v>
      </c>
      <c r="G168" s="168"/>
      <c r="H168" s="29" t="e">
        <f t="shared" si="16"/>
        <v>#N/A</v>
      </c>
      <c r="I168" s="164" t="e">
        <f t="shared" si="20"/>
        <v>#N/A</v>
      </c>
      <c r="J168" s="164"/>
      <c r="M168" s="22" t="s">
        <v>72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72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72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72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72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8" t="s">
        <v>198</v>
      </c>
      <c r="B190" s="188"/>
      <c r="C190" s="188"/>
      <c r="D190" s="188"/>
      <c r="E190" s="27">
        <f>SUM(F158:G187)</f>
        <v>324851.19</v>
      </c>
    </row>
    <row r="191" spans="1:14" ht="51.75" customHeight="1">
      <c r="A191" s="188" t="s">
        <v>199</v>
      </c>
      <c r="B191" s="188"/>
      <c r="C191" s="188"/>
      <c r="D191" s="188"/>
      <c r="E191" s="27">
        <f>E190+E154-E155</f>
        <v>-122192.11999999997</v>
      </c>
    </row>
    <row r="192" spans="1:14">
      <c r="A192" s="104" t="s">
        <v>175</v>
      </c>
    </row>
    <row r="193" spans="1:10" ht="62.25" customHeight="1">
      <c r="A193" s="162" t="s">
        <v>200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9">
        <f>ПТО!G12</f>
        <v>1200</v>
      </c>
      <c r="I194" s="50" t="s">
        <v>75</v>
      </c>
    </row>
    <row r="195" spans="1:10" ht="18.75" customHeight="1">
      <c r="A195" s="160" t="str">
        <f>ПТО!F13</f>
        <v xml:space="preserve">  -  техническое освидетельствование лифта</v>
      </c>
      <c r="B195" s="160"/>
      <c r="C195" s="160"/>
      <c r="D195" s="160"/>
      <c r="E195" s="160"/>
      <c r="F195" s="160"/>
      <c r="G195" s="160"/>
      <c r="H195" s="49">
        <f>ПТО!G13</f>
        <v>4100</v>
      </c>
      <c r="I195" s="50" t="s">
        <v>75</v>
      </c>
    </row>
    <row r="196" spans="1:10" ht="18.75" customHeight="1">
      <c r="A196" s="160" t="str">
        <f>ПТО!F14</f>
        <v xml:space="preserve">  -  техническое обслуживание охранной сигнализации</v>
      </c>
      <c r="B196" s="160"/>
      <c r="C196" s="160"/>
      <c r="D196" s="160"/>
      <c r="E196" s="160"/>
      <c r="F196" s="160"/>
      <c r="G196" s="160"/>
      <c r="H196" s="49">
        <f>ПТО!G14</f>
        <v>4000</v>
      </c>
      <c r="I196" s="50" t="s">
        <v>75</v>
      </c>
    </row>
    <row r="197" spans="1:10" ht="18.75" customHeight="1">
      <c r="A197" s="160" t="str">
        <f>ПТО!F15</f>
        <v xml:space="preserve">  -  благоустройство придомовой территории</v>
      </c>
      <c r="B197" s="160"/>
      <c r="C197" s="160"/>
      <c r="D197" s="160"/>
      <c r="E197" s="160"/>
      <c r="F197" s="160"/>
      <c r="G197" s="160"/>
      <c r="H197" s="49">
        <f>ПТО!G15</f>
        <v>5000</v>
      </c>
      <c r="I197" s="50" t="s">
        <v>75</v>
      </c>
    </row>
    <row r="198" spans="1:10" ht="18.75" customHeight="1">
      <c r="A198" s="160" t="str">
        <f>ПТО!F16</f>
        <v xml:space="preserve">  -  замена дефлектора </v>
      </c>
      <c r="B198" s="160"/>
      <c r="C198" s="160"/>
      <c r="D198" s="160"/>
      <c r="E198" s="160"/>
      <c r="F198" s="160"/>
      <c r="G198" s="160"/>
      <c r="H198" s="49">
        <f>ПТО!G16</f>
        <v>25000</v>
      </c>
      <c r="I198" s="52" t="s">
        <v>75</v>
      </c>
    </row>
    <row r="199" spans="1:10" ht="18.75" customHeight="1">
      <c r="A199" s="160" t="str">
        <f>ПТО!F17</f>
        <v xml:space="preserve">  -  ремонт подъезда</v>
      </c>
      <c r="B199" s="160"/>
      <c r="C199" s="160"/>
      <c r="D199" s="160"/>
      <c r="E199" s="160"/>
      <c r="F199" s="160"/>
      <c r="G199" s="160"/>
      <c r="H199" s="49">
        <f>ПТО!G17</f>
        <v>300000</v>
      </c>
      <c r="I199" s="50" t="s">
        <v>75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49">
        <f>ПТО!G18</f>
        <v>0</v>
      </c>
      <c r="I200" s="50" t="s">
        <v>75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49">
        <f>ПТО!G19</f>
        <v>0</v>
      </c>
      <c r="I201" s="50" t="s">
        <v>75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49">
        <f>ПТО!G20</f>
        <v>0</v>
      </c>
      <c r="I202" s="50" t="s">
        <v>75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49">
        <f>ПТО!G21</f>
        <v>0</v>
      </c>
      <c r="I203" s="50" t="s">
        <v>75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9">
        <f>ПТО!G22</f>
        <v>0</v>
      </c>
      <c r="I204" s="50" t="s">
        <v>75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75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75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75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75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75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75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75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75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339300</v>
      </c>
      <c r="I214" s="56" t="s">
        <v>78</v>
      </c>
    </row>
  </sheetData>
  <sheetProtection algorithmName="SHA-512" hashValue="tJmDdrNFvuPgsfQ/vukyDozilcwuQjuSfopsz/QCDIkpCrHnPZhEeeiYmSB61QmwVshYLm0L20BQeLGamcKgFQ==" saltValue="ks0OVd1EsqPZm3ikvcuDL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2" sqref="B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196</v>
      </c>
      <c r="G1" s="101">
        <f>-311038.91</f>
        <v>-311038.90999999997</v>
      </c>
    </row>
    <row r="2" spans="1:12" ht="18.75" customHeight="1">
      <c r="A2" s="129" t="s">
        <v>73</v>
      </c>
      <c r="B2" s="130" t="s">
        <v>180</v>
      </c>
      <c r="C2" s="130">
        <v>1</v>
      </c>
      <c r="D2" s="131">
        <v>4100</v>
      </c>
      <c r="E2" s="120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8" t="s">
        <v>185</v>
      </c>
      <c r="B3" s="149" t="s">
        <v>183</v>
      </c>
      <c r="C3" s="149">
        <v>12</v>
      </c>
      <c r="D3" s="150">
        <v>4000</v>
      </c>
      <c r="E3" s="151" t="s">
        <v>217</v>
      </c>
      <c r="F3" s="30"/>
      <c r="G3" s="30"/>
      <c r="L3" s="33" t="str">
        <f t="shared" si="0"/>
        <v>ТР</v>
      </c>
    </row>
    <row r="4" spans="1:12" ht="18.75" customHeight="1">
      <c r="A4" s="134" t="s">
        <v>194</v>
      </c>
      <c r="B4" s="135" t="s">
        <v>186</v>
      </c>
      <c r="C4" s="136">
        <v>1</v>
      </c>
      <c r="D4" s="137">
        <v>11100</v>
      </c>
      <c r="E4" s="138" t="s">
        <v>203</v>
      </c>
      <c r="F4" s="30"/>
      <c r="G4" s="30"/>
      <c r="L4" s="33" t="str">
        <f t="shared" si="0"/>
        <v>ТР</v>
      </c>
    </row>
    <row r="5" spans="1:12" ht="18.75" customHeight="1">
      <c r="A5" s="139" t="s">
        <v>201</v>
      </c>
      <c r="B5" s="140" t="s">
        <v>186</v>
      </c>
      <c r="C5" s="117">
        <v>1</v>
      </c>
      <c r="D5" s="132">
        <v>31200</v>
      </c>
      <c r="E5" s="133" t="s">
        <v>208</v>
      </c>
      <c r="F5" s="44"/>
      <c r="G5" s="44"/>
      <c r="K5" s="46"/>
      <c r="L5" s="33" t="str">
        <f t="shared" si="0"/>
        <v>ТР</v>
      </c>
    </row>
    <row r="6" spans="1:12" ht="32.25" customHeight="1">
      <c r="A6" s="147" t="s">
        <v>211</v>
      </c>
      <c r="B6" s="142" t="s">
        <v>186</v>
      </c>
      <c r="C6" s="117">
        <v>1</v>
      </c>
      <c r="D6" s="46">
        <v>15500</v>
      </c>
      <c r="E6" s="120" t="s">
        <v>209</v>
      </c>
      <c r="F6" s="44"/>
      <c r="G6" s="44"/>
      <c r="K6" s="46"/>
      <c r="L6" s="33" t="str">
        <f t="shared" si="0"/>
        <v>ТР</v>
      </c>
    </row>
    <row r="7" spans="1:12" ht="27.75" customHeight="1">
      <c r="A7" s="143" t="s">
        <v>205</v>
      </c>
      <c r="B7" s="144" t="s">
        <v>186</v>
      </c>
      <c r="C7" s="145">
        <v>1</v>
      </c>
      <c r="D7" s="146">
        <v>47600</v>
      </c>
      <c r="E7" s="120" t="s">
        <v>210</v>
      </c>
      <c r="F7" s="141"/>
      <c r="G7" s="45"/>
      <c r="K7" s="46"/>
      <c r="L7" s="33" t="str">
        <f t="shared" si="0"/>
        <v>ТР</v>
      </c>
    </row>
    <row r="8" spans="1:12" ht="18.75" customHeight="1">
      <c r="A8" s="152" t="s">
        <v>204</v>
      </c>
      <c r="B8" s="153" t="s">
        <v>186</v>
      </c>
      <c r="C8" s="145">
        <v>1</v>
      </c>
      <c r="D8" s="146">
        <v>1287</v>
      </c>
      <c r="E8" s="120" t="s">
        <v>213</v>
      </c>
      <c r="F8" s="45"/>
      <c r="G8" s="45"/>
      <c r="K8" s="43"/>
      <c r="L8" s="33" t="str">
        <f t="shared" si="0"/>
        <v>ТР</v>
      </c>
    </row>
    <row r="9" spans="1:12">
      <c r="A9" s="154" t="s">
        <v>202</v>
      </c>
      <c r="B9" s="155" t="s">
        <v>186</v>
      </c>
      <c r="C9" s="155">
        <v>1</v>
      </c>
      <c r="D9" s="146">
        <v>24800</v>
      </c>
      <c r="E9" s="146" t="s">
        <v>214</v>
      </c>
      <c r="F9" s="44"/>
      <c r="G9" s="44"/>
      <c r="K9" s="43"/>
      <c r="L9" s="33" t="str">
        <f t="shared" si="0"/>
        <v>ТР</v>
      </c>
    </row>
    <row r="10" spans="1:12">
      <c r="A10" s="156" t="s">
        <v>206</v>
      </c>
      <c r="B10" s="157" t="s">
        <v>186</v>
      </c>
      <c r="C10" s="130">
        <v>1</v>
      </c>
      <c r="D10" s="131">
        <f>960.29+931.7</f>
        <v>1891.99</v>
      </c>
      <c r="E10" s="138" t="s">
        <v>215</v>
      </c>
      <c r="L10" s="33" t="str">
        <f t="shared" si="0"/>
        <v>ТР</v>
      </c>
    </row>
    <row r="11" spans="1:12" ht="94.5">
      <c r="A11" s="158" t="s">
        <v>207</v>
      </c>
      <c r="B11" s="159" t="s">
        <v>186</v>
      </c>
      <c r="C11" s="136">
        <v>1</v>
      </c>
      <c r="D11" s="137">
        <v>183372.2</v>
      </c>
      <c r="E11" s="138" t="s">
        <v>216</v>
      </c>
      <c r="F11" s="111" t="s">
        <v>200</v>
      </c>
      <c r="G11" s="111"/>
      <c r="L11" s="33" t="str">
        <f t="shared" si="0"/>
        <v>ТР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184</v>
      </c>
      <c r="G14" s="113">
        <v>4000</v>
      </c>
      <c r="L14" s="33">
        <f t="shared" si="0"/>
        <v>0</v>
      </c>
    </row>
    <row r="15" spans="1:12" ht="31.5">
      <c r="A15" s="30"/>
      <c r="F15" s="121" t="s">
        <v>182</v>
      </c>
      <c r="G15" s="119">
        <v>5000</v>
      </c>
      <c r="L15" s="33">
        <f t="shared" si="0"/>
        <v>0</v>
      </c>
    </row>
    <row r="16" spans="1:12" ht="15.75">
      <c r="A16" s="30"/>
      <c r="F16" s="127" t="s">
        <v>195</v>
      </c>
      <c r="G16" s="128">
        <v>25000</v>
      </c>
      <c r="L16" s="33">
        <f t="shared" si="0"/>
        <v>0</v>
      </c>
    </row>
    <row r="17" spans="1:12" ht="15.75">
      <c r="A17" s="30"/>
      <c r="F17" s="121" t="s">
        <v>218</v>
      </c>
      <c r="G17" s="119">
        <v>300000</v>
      </c>
      <c r="L17" s="33">
        <f t="shared" si="0"/>
        <v>0</v>
      </c>
    </row>
    <row r="18" spans="1:12" ht="15.75">
      <c r="A18" s="30"/>
      <c r="F18" s="118"/>
      <c r="G18" s="119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130109.4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130109.4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53859.24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53859.24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5">
        <v>42966.36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42966.36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36309.599999999999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36309.599999999999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11800.68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11800.68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54464.4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54464.4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120729.48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120729.48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2"/>
      <c r="C47" s="123"/>
      <c r="D47" s="48"/>
      <c r="E47" s="122">
        <v>745.3</v>
      </c>
      <c r="F47" s="122">
        <v>416.7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4" t="s">
        <v>187</v>
      </c>
      <c r="F52" s="124" t="s">
        <v>188</v>
      </c>
      <c r="G52" s="124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4">
        <v>35.896999999999998</v>
      </c>
      <c r="F53" s="122">
        <v>2521.5</v>
      </c>
      <c r="G53" s="124">
        <v>3.48</v>
      </c>
      <c r="H53" s="124">
        <f>G53*E47/F53</f>
        <v>1.0286115407495537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4"/>
      <c r="F54" s="124" t="s">
        <v>190</v>
      </c>
      <c r="G54" s="124" t="s">
        <v>191</v>
      </c>
      <c r="H54" s="124">
        <f>H53*43.4</f>
        <v>44.641740868530633</v>
      </c>
    </row>
    <row r="55" spans="5:16">
      <c r="E55" s="124"/>
      <c r="F55" s="124">
        <v>1.17</v>
      </c>
      <c r="G55" s="124">
        <v>1.23</v>
      </c>
      <c r="H55" s="124"/>
    </row>
    <row r="56" spans="5:16">
      <c r="E56" s="124"/>
      <c r="F56" s="124"/>
      <c r="G56" s="124"/>
      <c r="H56" s="124"/>
    </row>
    <row r="57" spans="5:16">
      <c r="E57" s="124"/>
      <c r="F57" s="124"/>
      <c r="G57" s="124"/>
      <c r="H57" s="124"/>
    </row>
    <row r="58" spans="5:16">
      <c r="E58" s="124" t="s">
        <v>192</v>
      </c>
      <c r="F58" s="124"/>
      <c r="G58" s="124"/>
      <c r="H58" s="124"/>
    </row>
    <row r="59" spans="5:16">
      <c r="E59" s="124">
        <v>0.59599999999999997</v>
      </c>
      <c r="F59" s="122">
        <v>2521.5</v>
      </c>
      <c r="G59" s="124">
        <v>7.4999999999999997E-2</v>
      </c>
      <c r="H59" s="124">
        <f>G59*F47</f>
        <v>31.252499999999998</v>
      </c>
    </row>
    <row r="60" spans="5:16">
      <c r="E60" s="124"/>
      <c r="F60" s="124" t="s">
        <v>190</v>
      </c>
      <c r="G60" s="124" t="s">
        <v>191</v>
      </c>
      <c r="H60" s="124">
        <f>H59/F59</f>
        <v>1.2394408090422367E-2</v>
      </c>
    </row>
    <row r="61" spans="5:16">
      <c r="E61" s="124"/>
      <c r="F61" s="124">
        <v>12.94</v>
      </c>
      <c r="G61" s="124">
        <v>13.45</v>
      </c>
      <c r="H61" s="124">
        <f>H60*43.4</f>
        <v>0.53791731112433072</v>
      </c>
    </row>
    <row r="62" spans="5:16">
      <c r="E62" s="124" t="s">
        <v>193</v>
      </c>
      <c r="F62" s="124"/>
      <c r="G62" s="124"/>
      <c r="H62" s="124"/>
    </row>
    <row r="63" spans="5:16">
      <c r="E63" s="124">
        <v>0.59599999999999997</v>
      </c>
      <c r="F63" s="122">
        <v>2521.5</v>
      </c>
      <c r="G63" s="124">
        <v>7.4999999999999997E-2</v>
      </c>
      <c r="H63" s="124">
        <f>G63*F47</f>
        <v>31.252499999999998</v>
      </c>
    </row>
    <row r="64" spans="5:16">
      <c r="E64" s="124"/>
      <c r="F64" s="124" t="s">
        <v>190</v>
      </c>
      <c r="G64" s="124" t="s">
        <v>191</v>
      </c>
      <c r="H64" s="124">
        <f>H63/F63</f>
        <v>1.2394408090422367E-2</v>
      </c>
    </row>
    <row r="65" spans="4:13" ht="18.75" customHeight="1">
      <c r="E65" s="124"/>
      <c r="F65" s="124">
        <v>15.73</v>
      </c>
      <c r="G65" s="124">
        <v>16.350000000000001</v>
      </c>
      <c r="H65" s="124">
        <f>H64*43.4</f>
        <v>0.53791731112433072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jm0Vikh2AKNgfbBeeMOcEMchSXFhj44FkSoyPUbvkI/O34o1Y2mdLG4XK6GeiY48hXJOMcnlELfhLBluIIpHQ==" saltValue="bfVprkFYsax/Jh65OPnUQ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2518.6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183202.61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574872.5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438868.1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136004.4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593911.94999999995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593911.94999999995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593911.94999999995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164163.16000000003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106</v>
      </c>
      <c r="B27" s="75" t="s">
        <v>4</v>
      </c>
      <c r="C27" s="86">
        <v>60960.93</v>
      </c>
      <c r="D27" s="81" t="s">
        <v>60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109</v>
      </c>
      <c r="B30" s="75" t="s">
        <v>18</v>
      </c>
      <c r="C30" s="86">
        <v>13323.44</v>
      </c>
      <c r="D30" s="81" t="s">
        <v>66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147268.16</v>
      </c>
      <c r="F37" s="94" t="s">
        <v>168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108285.41</v>
      </c>
      <c r="D38" s="94" t="s">
        <v>166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177749.72</v>
      </c>
      <c r="D39" s="94" t="s">
        <v>167</v>
      </c>
      <c r="E39" s="126"/>
      <c r="G39" s="67"/>
      <c r="H39" s="67"/>
      <c r="L39" s="63"/>
      <c r="M39" s="189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126"/>
      <c r="G40" s="67"/>
      <c r="H40" s="67"/>
      <c r="L40" s="63"/>
      <c r="M40" s="189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147268.16</v>
      </c>
      <c r="D41" s="80" t="s">
        <v>59</v>
      </c>
      <c r="E41" s="126"/>
      <c r="G41" s="67"/>
      <c r="H41" s="67"/>
      <c r="L41" s="63"/>
      <c r="M41" s="189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147268.16</v>
      </c>
      <c r="D42" s="80" t="s">
        <v>59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87851.44</v>
      </c>
      <c r="F45" s="94" t="s">
        <v>168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6029.61</v>
      </c>
      <c r="D46" s="94" t="s">
        <v>169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96043.89</v>
      </c>
      <c r="D47" s="94" t="s">
        <v>167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87851.44</v>
      </c>
      <c r="D49" s="80" t="s">
        <v>59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87851.44</v>
      </c>
      <c r="D50" s="80" t="s">
        <v>59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106822.42</v>
      </c>
      <c r="F53" s="94" t="s">
        <v>168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6031.76</v>
      </c>
      <c r="D54" s="94" t="s">
        <v>169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115785.9</v>
      </c>
      <c r="D55" s="94" t="s">
        <v>167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106822.42</v>
      </c>
      <c r="D57" s="80" t="s">
        <v>59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106822.42</v>
      </c>
      <c r="D58" s="80" t="s">
        <v>59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23000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2024-04-23T05:25:38Z</dcterms:modified>
</cp:coreProperties>
</file>