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3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97" i="1"/>
  <c r="A96" i="1"/>
  <c r="G94" i="1"/>
  <c r="F94" i="1"/>
  <c r="D94" i="1"/>
  <c r="K94" i="1"/>
  <c r="F102" i="1" l="1"/>
  <c r="A119" i="1"/>
  <c r="A125" i="1"/>
  <c r="A110" i="1"/>
  <c r="A113" i="1"/>
  <c r="A112" i="1"/>
  <c r="D110" i="1"/>
  <c r="A121" i="1"/>
  <c r="F110" i="1"/>
  <c r="A115" i="1"/>
  <c r="D118" i="1"/>
  <c r="A122" i="1"/>
  <c r="A120" i="1"/>
  <c r="A118" i="1"/>
  <c r="A117" i="1"/>
  <c r="F118" i="1"/>
  <c r="A123" i="1"/>
  <c r="A114" i="1"/>
  <c r="A111" i="1"/>
  <c r="A141" i="1"/>
  <c r="A98" i="1"/>
  <c r="F134" i="1"/>
  <c r="A94" i="1"/>
  <c r="A95" i="1"/>
  <c r="A99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2" i="1" l="1"/>
  <c r="A172" i="1" s="1"/>
  <c r="I172" i="1" s="1"/>
  <c r="N174" i="1"/>
  <c r="A174" i="1" s="1"/>
  <c r="I174" i="1" s="1"/>
  <c r="N178" i="1"/>
  <c r="A178" i="1" s="1"/>
  <c r="I178" i="1" s="1"/>
  <c r="N170" i="1"/>
  <c r="A170" i="1" s="1"/>
  <c r="I170" i="1" s="1"/>
  <c r="N159" i="1"/>
  <c r="A159" i="1" s="1"/>
  <c r="N163" i="1"/>
  <c r="A163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9" i="1" l="1"/>
  <c r="F183" i="1"/>
  <c r="H180" i="1"/>
  <c r="F165" i="1"/>
  <c r="H187" i="1"/>
  <c r="F180" i="1"/>
  <c r="F172" i="1"/>
  <c r="H164" i="1"/>
  <c r="H186" i="1"/>
  <c r="H167" i="1"/>
  <c r="F175" i="1"/>
  <c r="H166" i="1"/>
  <c r="F166" i="1"/>
  <c r="F182" i="1"/>
  <c r="H182" i="1"/>
  <c r="H178" i="1"/>
  <c r="H175" i="1"/>
  <c r="H183" i="1"/>
  <c r="H172" i="1"/>
  <c r="F177" i="1"/>
  <c r="F178" i="1"/>
  <c r="F167" i="1"/>
  <c r="H184" i="1"/>
  <c r="F174" i="1"/>
  <c r="F181" i="1"/>
  <c r="H176" i="1"/>
  <c r="H181" i="1"/>
  <c r="F168" i="1"/>
  <c r="H174" i="1"/>
  <c r="H168" i="1"/>
  <c r="F176" i="1"/>
  <c r="F184" i="1"/>
  <c r="H173" i="1"/>
  <c r="F185" i="1"/>
  <c r="F187" i="1"/>
  <c r="F170" i="1"/>
  <c r="H165" i="1"/>
  <c r="F164" i="1"/>
  <c r="H170" i="1"/>
  <c r="F186" i="1"/>
  <c r="H177" i="1"/>
  <c r="H179" i="1"/>
  <c r="H169" i="1"/>
  <c r="F169" i="1"/>
  <c r="F171" i="1"/>
  <c r="H171" i="1"/>
  <c r="F173" i="1"/>
  <c r="H18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<sst xmlns="http://schemas.openxmlformats.org/spreadsheetml/2006/main" count="545" uniqueCount="196">
  <si>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</si>
  <si>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</si>
  <si>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</si>
  <si>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</si>
  <si>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</si>
  <si>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</si>
  <si>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</si>
  <si>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</si>
  <si>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</si>
  <si>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</si>
  <si>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</si>
  <si>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</si>
  <si>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</si>
  <si>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</si>
  <si>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</si>
  <si>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</si>
  <si>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</si>
  <si>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</si>
  <si>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</si>
  <si>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</si>
  <si>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</si>
  <si>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</si>
  <si>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</si>
  <si>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</si>
  <si>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</si>
  <si>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</si>
  <si>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</si>
  <si>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</si>
  <si>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</si>
  <si>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</si>
  <si>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</si>
  <si>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</si>
  <si>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</si>
  <si>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</si>
  <si>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</si>
  <si>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</si>
  <si>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</si>
  <si>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</si>
  <si>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</si>
  <si>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</si>
  <si>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</si>
  <si>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</si>
  <si>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</si>
  <si>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</si>
  <si>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</si>
  <si>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</si>
  <si>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</si>
  <si>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</si>
  <si>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</si>
  <si>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</si>
  <si>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</si>
  <si>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</si>
  <si>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</si>
  <si>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</si>
  <si>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</si>
  <si>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</si>
  <si>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</si>
  <si>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</si>
  <si>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</si>
  <si>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</si>
  <si>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</si>
  <si>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</si>
  <si>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</si>
  <si>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</si>
  <si>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</si>
  <si>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</si>
  <si>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</si>
  <si>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</si>
  <si>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</si>
  <si>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</si>
  <si>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</si>
  <si>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</si>
  <si>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</si>
  <si>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</si>
  <si>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</si>
  <si>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</si>
  <si>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</si>
  <si>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</si>
  <si>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</si>
  <si>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</si>
  <si>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</si>
  <si>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</si>
  <si>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</si>
  <si>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</si>
  <si>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</si>
  <si>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</si>
  <si>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</si>
  <si>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</si>
  <si>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</si>
  <si>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</si>
  <si>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</si>
  <si>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</si>
  <si>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</si>
  <si>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</si>
  <si>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</si>
  <si>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</si>
  <si>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</si>
  <si>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</si>
  <si>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</si>
  <si>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</si>
  <si>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</si>
  <si>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</si>
  <si>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</si>
  <si>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</si>
  <si>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</si>
  <si>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</si>
  <si>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</si>
  <si>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</si>
  <si>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</si>
  <si>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</si>
  <si>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</si>
  <si>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</si>
  <si>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</si>
  <si>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</si>
  <si>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</si>
  <si>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</si>
  <si>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</si>
  <si>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</si>
  <si>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</si>
  <si>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</si>
  <si>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</si>
  <si>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</si>
  <si>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</si>
  <si>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</si>
  <si>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</si>
  <si>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</si>
  <si>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</si>
  <si>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</si>
  <si>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</si>
  <si>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</si>
  <si>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</si>
  <si>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</si>
  <si>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</si>
  <si>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</si>
  <si>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</si>
  <si>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</si>
  <si>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</si>
  <si>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</si>
  <si>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</si>
  <si>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</si>
  <si>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</si>
  <si>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</si>
  <si>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</si>
  <si>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</si>
  <si>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</si>
  <si>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</si>
  <si>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</si>
  <si>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</si>
  <si>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</si>
  <si>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</si>
  <si>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</si>
  <si>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</si>
  <si>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</si>
  <si>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</si>
  <si>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</si>
  <si>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</si>
  <si>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</si>
  <si>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</si>
  <si>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</si>
  <si>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</si>
  <si>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</si>
  <si>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</si>
  <si>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</si>
  <si>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</si>
  <si>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</si>
  <si>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</si>
  <si>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</si>
  <si>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</si>
  <si>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</si>
  <si>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</si>
  <si>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</si>
  <si>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</si>
  <si>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</si>
  <si>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</si>
  <si>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Профсоюзная, 12</t>
  </si>
  <si>
    <t>Отчет об исполнении договора управления многоквартирного дома 
Профсоюзная, 12 в части текущего ремонта</t>
  </si>
  <si>
    <t>площадь дома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</si>
  <si>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</si>
  <si>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</si>
  <si>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</si>
  <si>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</si>
  <si>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</si>
  <si>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</si>
  <si>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</si>
  <si>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</si>
  <si>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тамбурной двери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</si>
  <si>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</si>
  <si>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</si>
  <si>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</si>
  <si>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</si>
  <si>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</si>
  <si>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Механизированная уборка и вывоз снега с придомовой территории.</t>
  </si>
  <si>
    <t>АВР 1/23 от 27.02.2023, Решение</t>
  </si>
  <si>
    <t>АВР 2/23 от 28.11.2023, счет №5080 от 05.07.2023</t>
  </si>
  <si>
    <t>Приобретение и замена шаровых кранов (Ду 15) и манометров (10 шт.).</t>
  </si>
  <si>
    <t xml:space="preserve">  -  ремонт крыльца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</si>
</sst>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4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>
      <alignment horizontal="center"/>
    </xf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26" fillId="3" borderId="0" xfId="13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0" xfId="19" applyFont="1" applyFill="1" applyBorder="1" applyAlignment="1"/>
    <xf numFmtId="0" fontId="6" fillId="0" borderId="0" xfId="19" applyFont="1" applyFill="1" applyBorder="1" applyAlignment="1">
      <alignment horizontal="center"/>
    </xf>
    <xf numFmtId="0" fontId="6" fillId="0" borderId="0" xfId="19" applyNumberFormat="1" applyFill="1" applyBorder="1" applyAlignment="1">
      <alignment horizontal="center"/>
    </xf>
    <xf numFmtId="4" fontId="6" fillId="0" borderId="0" xfId="19" applyNumberFormat="1" applyFill="1" applyBorder="1" applyAlignment="1"/>
    <xf numFmtId="4" fontId="0" fillId="0" borderId="0" xfId="0" applyNumberFormat="1" applyFill="1"/>
    <xf numFmtId="0" fontId="5" fillId="0" borderId="0" xfId="5" applyFont="1" applyFill="1" applyBorder="1" applyAlignment="1">
      <alignment horizontal="center"/>
    </xf>
    <xf numFmtId="0" fontId="9" fillId="0" borderId="0" xfId="5" applyFill="1" applyBorder="1" applyAlignment="1">
      <alignment horizontal="center"/>
    </xf>
    <xf numFmtId="4" fontId="9" fillId="0" borderId="0" xfId="5" applyNumberFormat="1" applyFill="1" applyBorder="1" applyAlignment="1"/>
    <xf numFmtId="0" fontId="2" fillId="0" borderId="0" xfId="5" applyFont="1" applyFill="1" applyBorder="1" applyAlignment="1"/>
    <xf numFmtId="0" fontId="4" fillId="0" borderId="0" xfId="132" applyFont="1" applyFill="1" applyBorder="1" applyAlignment="1"/>
    <xf numFmtId="0" fontId="4" fillId="0" borderId="0" xfId="132" applyFont="1" applyFill="1" applyBorder="1" applyAlignment="1">
      <alignment horizontal="center"/>
    </xf>
    <xf numFmtId="0" fontId="24" fillId="0" borderId="0" xfId="132" applyNumberFormat="1" applyFont="1" applyFill="1" applyBorder="1" applyAlignment="1">
      <alignment horizontal="center" vertical="center"/>
    </xf>
    <xf numFmtId="4" fontId="4" fillId="0" borderId="0" xfId="132" applyNumberFormat="1" applyFill="1" applyBorder="1" applyAlignment="1"/>
    <xf numFmtId="0" fontId="3" fillId="0" borderId="0" xfId="132" applyFont="1" applyFill="1" applyBorder="1"/>
    <xf numFmtId="4" fontId="16" fillId="0" borderId="0" xfId="0" applyNumberFormat="1" applyFont="1" applyFill="1"/>
    <xf numFmtId="0" fontId="17" fillId="0" borderId="0" xfId="139" applyFo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284">
    <cellStyle name="Обычный" xfId="0" builtinId="0"/>
    <cellStyle name="Обычный 2" xfId="1"/>
    <cellStyle name="Обычный 2 10" xfId="14"/>
    <cellStyle name="Обычный 2 10 2" xfId="169"/>
    <cellStyle name="Обычный 2 11" xfId="129"/>
    <cellStyle name="Обычный 2 11 2" xfId="159"/>
    <cellStyle name="Обычный 2 12" xfId="135"/>
    <cellStyle name="Обычный 2 2" xfId="3"/>
    <cellStyle name="Обычный 2 3" xfId="9"/>
    <cellStyle name="Обычный 2 3 2" xfId="40"/>
    <cellStyle name="Обычный 2 3 2 2" xfId="121"/>
    <cellStyle name="Обычный 2 3 2 2 2" xfId="276"/>
    <cellStyle name="Обычный 2 3 2 3" xfId="87"/>
    <cellStyle name="Обычный 2 3 2 3 2" xfId="242"/>
    <cellStyle name="Обычный 2 3 2 4" xfId="195"/>
    <cellStyle name="Обычный 2 3 2 5" xfId="155"/>
    <cellStyle name="Обычный 2 3 3" xfId="72"/>
    <cellStyle name="Обычный 2 3 3 2" xfId="227"/>
    <cellStyle name="Обычный 2 3 4" xfId="106"/>
    <cellStyle name="Обычный 2 3 4 2" xfId="261"/>
    <cellStyle name="Обычный 2 3 5" xfId="59"/>
    <cellStyle name="Обычный 2 3 5 2" xfId="214"/>
    <cellStyle name="Обычный 2 3 6" xfId="25"/>
    <cellStyle name="Обычный 2 3 6 2" xfId="180"/>
    <cellStyle name="Обычный 2 3 7" xfId="164"/>
    <cellStyle name="Обычный 2 3 8" xfId="140"/>
    <cellStyle name="Обычный 2 4" xfId="44"/>
    <cellStyle name="Обычный 2 4 2" xfId="91"/>
    <cellStyle name="Обычный 2 4 2 2" xfId="246"/>
    <cellStyle name="Обычный 2 4 3" xfId="125"/>
    <cellStyle name="Обычный 2 4 3 2" xfId="280"/>
    <cellStyle name="Обычный 2 4 4" xfId="63"/>
    <cellStyle name="Обычный 2 4 4 2" xfId="218"/>
    <cellStyle name="Обычный 2 4 5" xfId="199"/>
    <cellStyle name="Обычный 2 4 6" xfId="144"/>
    <cellStyle name="Обычный 2 5" xfId="13"/>
    <cellStyle name="Обычный 2 5 2" xfId="36"/>
    <cellStyle name="Обычный 2 5 2 2" xfId="117"/>
    <cellStyle name="Обычный 2 5 2 2 2" xfId="272"/>
    <cellStyle name="Обычный 2 5 2 3" xfId="83"/>
    <cellStyle name="Обычный 2 5 2 3 2" xfId="238"/>
    <cellStyle name="Обычный 2 5 2 4" xfId="191"/>
    <cellStyle name="Обычный 2 5 3" xfId="99"/>
    <cellStyle name="Обычный 2 5 3 2" xfId="254"/>
    <cellStyle name="Обычный 2 5 4" xfId="55"/>
    <cellStyle name="Обычный 2 5 4 2" xfId="210"/>
    <cellStyle name="Обычный 2 5 5" xfId="18"/>
    <cellStyle name="Обычный 2 5 5 2" xfId="173"/>
    <cellStyle name="Обычный 2 5 6" xfId="134"/>
    <cellStyle name="Обычный 2 5 6 2" xfId="168"/>
    <cellStyle name="Обычный 2 5 7" xfId="148"/>
    <cellStyle name="Обычный 2 6" xfId="29"/>
    <cellStyle name="Обычный 2 6 2" xfId="110"/>
    <cellStyle name="Обычный 2 6 2 2" xfId="265"/>
    <cellStyle name="Обычный 2 6 3" xfId="76"/>
    <cellStyle name="Обычный 2 6 3 2" xfId="231"/>
    <cellStyle name="Обычный 2 6 4" xfId="184"/>
    <cellStyle name="Обычный 2 7" xfId="20"/>
    <cellStyle name="Обычный 2 7 2" xfId="101"/>
    <cellStyle name="Обычный 2 7 2 2" xfId="256"/>
    <cellStyle name="Обычный 2 7 3" xfId="67"/>
    <cellStyle name="Обычный 2 7 3 2" xfId="222"/>
    <cellStyle name="Обычный 2 7 4" xfId="175"/>
    <cellStyle name="Обычный 2 8" xfId="95"/>
    <cellStyle name="Обычный 2 8 2" xfId="250"/>
    <cellStyle name="Обычный 2 9" xfId="48"/>
    <cellStyle name="Обычный 2 9 2" xfId="203"/>
    <cellStyle name="Обычный 3" xfId="2"/>
    <cellStyle name="Обычный 3 10" xfId="130"/>
    <cellStyle name="Обычный 3 10 2" xfId="160"/>
    <cellStyle name="Обычный 3 11" xfId="136"/>
    <cellStyle name="Обычный 3 2" xfId="8"/>
    <cellStyle name="Обычный 3 2 2" xfId="41"/>
    <cellStyle name="Обычный 3 2 2 2" xfId="88"/>
    <cellStyle name="Обычный 3 2 2 2 2" xfId="243"/>
    <cellStyle name="Обычный 3 2 2 3" xfId="122"/>
    <cellStyle name="Обычный 3 2 2 3 2" xfId="277"/>
    <cellStyle name="Обычный 3 2 2 4" xfId="60"/>
    <cellStyle name="Обычный 3 2 2 4 2" xfId="215"/>
    <cellStyle name="Обычный 3 2 2 5" xfId="196"/>
    <cellStyle name="Обычный 3 2 2 6" xfId="154"/>
    <cellStyle name="Обычный 3 2 3" xfId="34"/>
    <cellStyle name="Обычный 3 2 3 2" xfId="115"/>
    <cellStyle name="Обычный 3 2 3 2 2" xfId="270"/>
    <cellStyle name="Обычный 3 2 3 3" xfId="81"/>
    <cellStyle name="Обычный 3 2 3 3 2" xfId="236"/>
    <cellStyle name="Обычный 3 2 3 4" xfId="189"/>
    <cellStyle name="Обычный 3 2 4" xfId="73"/>
    <cellStyle name="Обычный 3 2 4 2" xfId="228"/>
    <cellStyle name="Обычный 3 2 5" xfId="107"/>
    <cellStyle name="Обычный 3 2 5 2" xfId="262"/>
    <cellStyle name="Обычный 3 2 6" xfId="53"/>
    <cellStyle name="Обычный 3 2 6 2" xfId="208"/>
    <cellStyle name="Обычный 3 2 7" xfId="26"/>
    <cellStyle name="Обычный 3 2 7 2" xfId="181"/>
    <cellStyle name="Обычный 3 2 8" xfId="141"/>
    <cellStyle name="Обычный 3 3" xfId="7"/>
    <cellStyle name="Обычный 3 3 2" xfId="92"/>
    <cellStyle name="Обычный 3 3 2 2" xfId="247"/>
    <cellStyle name="Обычный 3 3 2 3" xfId="153"/>
    <cellStyle name="Обычный 3 3 3" xfId="126"/>
    <cellStyle name="Обычный 3 3 3 2" xfId="281"/>
    <cellStyle name="Обычный 3 3 4" xfId="64"/>
    <cellStyle name="Обычный 3 3 4 2" xfId="219"/>
    <cellStyle name="Обычный 3 3 5" xfId="45"/>
    <cellStyle name="Обычный 3 3 5 2" xfId="200"/>
    <cellStyle name="Обычный 3 3 6" xfId="145"/>
    <cellStyle name="Обычный 3 4" xfId="10"/>
    <cellStyle name="Обычный 3 4 2" xfId="84"/>
    <cellStyle name="Обычный 3 4 2 2" xfId="239"/>
    <cellStyle name="Обычный 3 4 3" xfId="118"/>
    <cellStyle name="Обычный 3 4 3 2" xfId="273"/>
    <cellStyle name="Обычный 3 4 4" xfId="56"/>
    <cellStyle name="Обычный 3 4 4 2" xfId="211"/>
    <cellStyle name="Обычный 3 4 5" xfId="37"/>
    <cellStyle name="Обычный 3 4 5 2" xfId="192"/>
    <cellStyle name="Обычный 3 4 6" xfId="165"/>
    <cellStyle name="Обычный 3 4 7" xfId="156"/>
    <cellStyle name="Обычный 3 5" xfId="30"/>
    <cellStyle name="Обычный 3 5 2" xfId="111"/>
    <cellStyle name="Обычный 3 5 2 2" xfId="266"/>
    <cellStyle name="Обычный 3 5 3" xfId="77"/>
    <cellStyle name="Обычный 3 5 3 2" xfId="232"/>
    <cellStyle name="Обычный 3 5 4" xfId="185"/>
    <cellStyle name="Обычный 3 5 5" xfId="149"/>
    <cellStyle name="Обычный 3 6" xfId="21"/>
    <cellStyle name="Обычный 3 6 2" xfId="102"/>
    <cellStyle name="Обычный 3 6 2 2" xfId="257"/>
    <cellStyle name="Обычный 3 6 3" xfId="68"/>
    <cellStyle name="Обычный 3 6 3 2" xfId="223"/>
    <cellStyle name="Обычный 3 6 4" xfId="176"/>
    <cellStyle name="Обычный 3 7" xfId="96"/>
    <cellStyle name="Обычный 3 7 2" xfId="251"/>
    <cellStyle name="Обычный 3 8" xfId="49"/>
    <cellStyle name="Обычный 3 8 2" xfId="204"/>
    <cellStyle name="Обычный 3 9" xfId="15"/>
    <cellStyle name="Обычный 3 9 2" xfId="170"/>
    <cellStyle name="Обычный 4" xfId="4"/>
    <cellStyle name="Обычный 4 10" xfId="131"/>
    <cellStyle name="Обычный 4 10 2" xfId="161"/>
    <cellStyle name="Обычный 4 11" xfId="137"/>
    <cellStyle name="Обычный 4 2" xfId="11"/>
    <cellStyle name="Обычный 4 2 2" xfId="42"/>
    <cellStyle name="Обычный 4 2 2 2" xfId="89"/>
    <cellStyle name="Обычный 4 2 2 2 2" xfId="244"/>
    <cellStyle name="Обычный 4 2 2 3" xfId="123"/>
    <cellStyle name="Обычный 4 2 2 3 2" xfId="278"/>
    <cellStyle name="Обычный 4 2 2 4" xfId="61"/>
    <cellStyle name="Обычный 4 2 2 4 2" xfId="216"/>
    <cellStyle name="Обычный 4 2 2 5" xfId="197"/>
    <cellStyle name="Обычный 4 2 2 6" xfId="157"/>
    <cellStyle name="Обычный 4 2 3" xfId="35"/>
    <cellStyle name="Обычный 4 2 3 2" xfId="116"/>
    <cellStyle name="Обычный 4 2 3 2 2" xfId="271"/>
    <cellStyle name="Обычный 4 2 3 3" xfId="82"/>
    <cellStyle name="Обычный 4 2 3 3 2" xfId="237"/>
    <cellStyle name="Обычный 4 2 3 4" xfId="190"/>
    <cellStyle name="Обычный 4 2 4" xfId="74"/>
    <cellStyle name="Обычный 4 2 4 2" xfId="229"/>
    <cellStyle name="Обычный 4 2 5" xfId="108"/>
    <cellStyle name="Обычный 4 2 5 2" xfId="263"/>
    <cellStyle name="Обычный 4 2 6" xfId="54"/>
    <cellStyle name="Обычный 4 2 6 2" xfId="209"/>
    <cellStyle name="Обычный 4 2 7" xfId="27"/>
    <cellStyle name="Обычный 4 2 7 2" xfId="182"/>
    <cellStyle name="Обычный 4 2 8" xfId="166"/>
    <cellStyle name="Обычный 4 2 9" xfId="142"/>
    <cellStyle name="Обычный 4 3" xfId="46"/>
    <cellStyle name="Обычный 4 3 2" xfId="93"/>
    <cellStyle name="Обычный 4 3 2 2" xfId="248"/>
    <cellStyle name="Обычный 4 3 3" xfId="127"/>
    <cellStyle name="Обычный 4 3 3 2" xfId="282"/>
    <cellStyle name="Обычный 4 3 4" xfId="65"/>
    <cellStyle name="Обычный 4 3 4 2" xfId="220"/>
    <cellStyle name="Обычный 4 3 5" xfId="201"/>
    <cellStyle name="Обычный 4 3 6" xfId="146"/>
    <cellStyle name="Обычный 4 4" xfId="38"/>
    <cellStyle name="Обычный 4 4 2" xfId="85"/>
    <cellStyle name="Обычный 4 4 2 2" xfId="240"/>
    <cellStyle name="Обычный 4 4 3" xfId="119"/>
    <cellStyle name="Обычный 4 4 3 2" xfId="274"/>
    <cellStyle name="Обычный 4 4 4" xfId="57"/>
    <cellStyle name="Обычный 4 4 4 2" xfId="212"/>
    <cellStyle name="Обычный 4 4 5" xfId="193"/>
    <cellStyle name="Обычный 4 4 6" xfId="150"/>
    <cellStyle name="Обычный 4 5" xfId="31"/>
    <cellStyle name="Обычный 4 5 2" xfId="112"/>
    <cellStyle name="Обычный 4 5 2 2" xfId="267"/>
    <cellStyle name="Обычный 4 5 3" xfId="78"/>
    <cellStyle name="Обычный 4 5 3 2" xfId="233"/>
    <cellStyle name="Обычный 4 5 4" xfId="186"/>
    <cellStyle name="Обычный 4 6" xfId="22"/>
    <cellStyle name="Обычный 4 6 2" xfId="103"/>
    <cellStyle name="Обычный 4 6 2 2" xfId="258"/>
    <cellStyle name="Обычный 4 6 3" xfId="69"/>
    <cellStyle name="Обычный 4 6 3 2" xfId="224"/>
    <cellStyle name="Обычный 4 6 4" xfId="177"/>
    <cellStyle name="Обычный 4 7" xfId="97"/>
    <cellStyle name="Обычный 4 7 2" xfId="252"/>
    <cellStyle name="Обычный 4 8" xfId="50"/>
    <cellStyle name="Обычный 4 8 2" xfId="205"/>
    <cellStyle name="Обычный 4 9" xfId="16"/>
    <cellStyle name="Обычный 4 9 2" xfId="171"/>
    <cellStyle name="Обычный 5" xfId="5"/>
    <cellStyle name="Обычный 5 10" xfId="132"/>
    <cellStyle name="Обычный 5 10 2" xfId="162"/>
    <cellStyle name="Обычный 5 11" xfId="138"/>
    <cellStyle name="Обычный 5 2" xfId="12"/>
    <cellStyle name="Обычный 5 2 2" xfId="43"/>
    <cellStyle name="Обычный 5 2 2 2" xfId="124"/>
    <cellStyle name="Обычный 5 2 2 2 2" xfId="279"/>
    <cellStyle name="Обычный 5 2 2 3" xfId="90"/>
    <cellStyle name="Обычный 5 2 2 3 2" xfId="245"/>
    <cellStyle name="Обычный 5 2 2 4" xfId="198"/>
    <cellStyle name="Обычный 5 2 2 5" xfId="158"/>
    <cellStyle name="Обычный 5 2 3" xfId="28"/>
    <cellStyle name="Обычный 5 2 3 2" xfId="109"/>
    <cellStyle name="Обычный 5 2 3 2 2" xfId="264"/>
    <cellStyle name="Обычный 5 2 3 3" xfId="75"/>
    <cellStyle name="Обычный 5 2 3 3 2" xfId="230"/>
    <cellStyle name="Обычный 5 2 3 4" xfId="183"/>
    <cellStyle name="Обычный 5 2 4" xfId="100"/>
    <cellStyle name="Обычный 5 2 4 2" xfId="255"/>
    <cellStyle name="Обычный 5 2 5" xfId="62"/>
    <cellStyle name="Обычный 5 2 5 2" xfId="217"/>
    <cellStyle name="Обычный 5 2 6" xfId="19"/>
    <cellStyle name="Обычный 5 2 6 2" xfId="174"/>
    <cellStyle name="Обычный 5 2 7" xfId="167"/>
    <cellStyle name="Обычный 5 2 8" xfId="143"/>
    <cellStyle name="Обычный 5 3" xfId="24"/>
    <cellStyle name="Обычный 5 3 2" xfId="47"/>
    <cellStyle name="Обычный 5 3 2 2" xfId="128"/>
    <cellStyle name="Обычный 5 3 2 2 2" xfId="283"/>
    <cellStyle name="Обычный 5 3 2 3" xfId="94"/>
    <cellStyle name="Обычный 5 3 2 3 2" xfId="249"/>
    <cellStyle name="Обычный 5 3 2 4" xfId="202"/>
    <cellStyle name="Обычный 5 3 3" xfId="71"/>
    <cellStyle name="Обычный 5 3 3 2" xfId="226"/>
    <cellStyle name="Обычный 5 3 4" xfId="105"/>
    <cellStyle name="Обычный 5 3 4 2" xfId="260"/>
    <cellStyle name="Обычный 5 3 5" xfId="66"/>
    <cellStyle name="Обычный 5 3 5 2" xfId="221"/>
    <cellStyle name="Обычный 5 3 6" xfId="179"/>
    <cellStyle name="Обычный 5 3 7" xfId="147"/>
    <cellStyle name="Обычный 5 4" xfId="39"/>
    <cellStyle name="Обычный 5 4 2" xfId="86"/>
    <cellStyle name="Обычный 5 4 2 2" xfId="241"/>
    <cellStyle name="Обычный 5 4 3" xfId="120"/>
    <cellStyle name="Обычный 5 4 3 2" xfId="275"/>
    <cellStyle name="Обычный 5 4 4" xfId="58"/>
    <cellStyle name="Обычный 5 4 4 2" xfId="213"/>
    <cellStyle name="Обычный 5 4 5" xfId="194"/>
    <cellStyle name="Обычный 5 4 6" xfId="151"/>
    <cellStyle name="Обычный 5 5" xfId="32"/>
    <cellStyle name="Обычный 5 5 2" xfId="113"/>
    <cellStyle name="Обычный 5 5 2 2" xfId="268"/>
    <cellStyle name="Обычный 5 5 3" xfId="79"/>
    <cellStyle name="Обычный 5 5 3 2" xfId="234"/>
    <cellStyle name="Обычный 5 5 4" xfId="187"/>
    <cellStyle name="Обычный 5 6" xfId="23"/>
    <cellStyle name="Обычный 5 6 2" xfId="104"/>
    <cellStyle name="Обычный 5 6 2 2" xfId="259"/>
    <cellStyle name="Обычный 5 6 3" xfId="70"/>
    <cellStyle name="Обычный 5 6 3 2" xfId="225"/>
    <cellStyle name="Обычный 5 6 4" xfId="178"/>
    <cellStyle name="Обычный 5 7" xfId="98"/>
    <cellStyle name="Обычный 5 7 2" xfId="253"/>
    <cellStyle name="Обычный 5 8" xfId="51"/>
    <cellStyle name="Обычный 5 8 2" xfId="206"/>
    <cellStyle name="Обычный 5 9" xfId="17"/>
    <cellStyle name="Обычный 5 9 2" xfId="172"/>
    <cellStyle name="Обычный 6" xfId="33"/>
    <cellStyle name="Обычный 6 2" xfId="80"/>
    <cellStyle name="Обычный 6 2 2" xfId="235"/>
    <cellStyle name="Обычный 6 3" xfId="114"/>
    <cellStyle name="Обычный 6 3 2" xfId="269"/>
    <cellStyle name="Обычный 6 4" xfId="52"/>
    <cellStyle name="Обычный 6 4 2" xfId="207"/>
    <cellStyle name="Обычный 6 5" xfId="133"/>
    <cellStyle name="Обычный 6 5 2" xfId="188"/>
    <cellStyle name="Обычный 6 6" xfId="139"/>
    <cellStyle name="Финансовый 2" xfId="6"/>
    <cellStyle name="Финансовый 2 2" xfId="163"/>
    <cellStyle name="Финансовый 2 3" xfId="1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1" sqref="M1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3" t="s">
        <v>174</v>
      </c>
      <c r="B2" s="163"/>
      <c r="C2" s="163"/>
      <c r="D2" s="163"/>
      <c r="E2" s="163"/>
      <c r="F2" s="163"/>
      <c r="G2" s="163"/>
      <c r="H2" s="163"/>
      <c r="I2" s="163"/>
      <c r="J2" s="16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44927</v>
      </c>
      <c r="K4" s="112"/>
      <c r="L4" s="112"/>
      <c r="M4" s="112"/>
      <c r="N4" s="112"/>
    </row>
    <row r="5" spans="1:18">
      <c r="A5" s="1" t="s">
        <v>1</v>
      </c>
      <c r="E5" s="120">
        <v>45291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2"/>
      <c r="L8" s="164"/>
      <c r="M8" s="112"/>
      <c r="N8" s="112"/>
      <c r="O8" s="72" t="s">
        <v>81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2"/>
      <c r="L9" s="164"/>
      <c r="M9" s="112"/>
      <c r="N9" s="112"/>
      <c r="O9" s="72" t="s">
        <v>82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19213.68</v>
      </c>
      <c r="K10" s="112"/>
      <c r="L10" s="164"/>
      <c r="M10" s="112"/>
      <c r="N10" s="112"/>
      <c r="O10" s="72" t="s">
        <v>83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157928.52000000002</v>
      </c>
      <c r="K11" s="112"/>
      <c r="L11" s="164"/>
      <c r="M11" s="112"/>
      <c r="N11" s="112"/>
      <c r="O11" s="72" t="s">
        <v>84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76869.960000000006</v>
      </c>
      <c r="K12" s="112"/>
      <c r="L12" s="164"/>
      <c r="M12" s="112"/>
      <c r="N12" s="112"/>
      <c r="O12" s="72" t="s">
        <v>85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42274.559999999998</v>
      </c>
      <c r="K13" s="112"/>
      <c r="L13" s="164"/>
      <c r="M13" s="112"/>
      <c r="N13" s="112"/>
      <c r="O13" s="72" t="s">
        <v>86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38784</v>
      </c>
      <c r="K14" s="112"/>
      <c r="L14" s="164"/>
      <c r="M14" s="112"/>
      <c r="N14" s="112"/>
      <c r="O14" s="72" t="s">
        <v>87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165084.24</v>
      </c>
      <c r="K15" s="112"/>
      <c r="L15" s="164"/>
      <c r="M15" s="112"/>
      <c r="N15" s="112"/>
      <c r="O15" s="72" t="s">
        <v>88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165084.24</v>
      </c>
      <c r="K16" s="112"/>
      <c r="L16" s="164"/>
      <c r="M16" s="112"/>
      <c r="N16" s="112"/>
      <c r="O16" s="72" t="s">
        <v>89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2"/>
      <c r="L17" s="164"/>
      <c r="M17" s="112"/>
      <c r="N17" s="112"/>
      <c r="O17" s="72" t="s">
        <v>90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2"/>
      <c r="L18" s="164"/>
      <c r="M18" s="112"/>
      <c r="N18" s="112"/>
      <c r="O18" s="72" t="s">
        <v>91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2"/>
      <c r="L19" s="164"/>
      <c r="M19" s="112"/>
      <c r="N19" s="112"/>
      <c r="O19" s="72" t="s">
        <v>92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2"/>
      <c r="L20" s="164"/>
      <c r="M20" s="112"/>
      <c r="N20" s="112"/>
      <c r="O20" s="72" t="s">
        <v>93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165084.24</v>
      </c>
      <c r="K21" s="112"/>
      <c r="L21" s="164"/>
      <c r="M21" s="112"/>
      <c r="N21" s="112"/>
      <c r="O21" s="72" t="s">
        <v>94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2"/>
      <c r="L22" s="164"/>
      <c r="M22" s="112"/>
      <c r="N22" s="112"/>
      <c r="O22" s="72" t="s">
        <v>95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2"/>
      <c r="L23" s="164"/>
      <c r="M23" s="112"/>
      <c r="N23" s="112"/>
      <c r="O23" s="72" t="s">
        <v>96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12057.960000000021</v>
      </c>
      <c r="K24" s="112"/>
      <c r="L24" s="164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12"/>
      <c r="L27" s="16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15048.24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2"/>
      <c r="L28" s="16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8">
        <f>ПТО!A40</f>
        <v>0</v>
      </c>
      <c r="B29" s="148"/>
      <c r="C29" s="148"/>
      <c r="D29" s="148"/>
      <c r="E29" s="148"/>
      <c r="F29" s="153" t="e">
        <f>VLOOKUP(A29,ПТО!$A$39:$D$53,2,FALSE)</f>
        <v>#N/A</v>
      </c>
      <c r="G29" s="153"/>
      <c r="H29" s="42" t="e">
        <f>VLOOKUP(A29,ПТО!$A$39:$D$53,3,FALSE)</f>
        <v>#N/A</v>
      </c>
      <c r="I29" s="149" t="e">
        <f>VLOOKUP(A29,ПТО!$A$39:$D$53,4,FALSE)</f>
        <v>#N/A</v>
      </c>
      <c r="J29" s="149"/>
      <c r="K29" s="112"/>
      <c r="L29" s="165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21176.04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2"/>
      <c r="L30" s="16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9153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2"/>
      <c r="L31" s="16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2"/>
      <c r="L32" s="165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3102.72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2"/>
      <c r="L33" s="16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28389.84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2"/>
      <c r="L34" s="16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8">
        <f>ПТО!A46</f>
        <v>0</v>
      </c>
      <c r="B35" s="148"/>
      <c r="C35" s="148"/>
      <c r="D35" s="148"/>
      <c r="E35" s="148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49" t="e">
        <f>VLOOKUP(A35,ПТО!$A$39:$D$53,4,FALSE)</f>
        <v>#N/A</v>
      </c>
      <c r="J35" s="149"/>
      <c r="K35" s="112"/>
      <c r="L35" s="165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2"/>
      <c r="L36" s="165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2"/>
      <c r="L37" s="165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2"/>
      <c r="L38" s="165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2"/>
      <c r="L39" s="165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2"/>
      <c r="L40" s="165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2"/>
      <c r="L41" s="165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2"/>
      <c r="L42" s="165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Механизированная уборка и вывоз снега с придомовой территории.</v>
      </c>
      <c r="B43" s="148"/>
      <c r="C43" s="148"/>
      <c r="D43" s="148"/>
      <c r="E43" s="148"/>
      <c r="F43" s="153">
        <f>VLOOKUP(A43,ПТО!$A$2:$D$31,4,FALSE)</f>
        <v>2863</v>
      </c>
      <c r="G43" s="153"/>
      <c r="H43" s="19" t="str">
        <f>VLOOKUP(A43,ПТО!$A$2:$D$31,2,FALSE)</f>
        <v>разово</v>
      </c>
      <c r="I43" s="149">
        <f>VLOOKUP(A43,ПТО!$A$2:$D$31,3,FALSE)</f>
        <v>1</v>
      </c>
      <c r="J43" s="149"/>
      <c r="K43" s="112"/>
      <c r="L43" s="165"/>
      <c r="M43" s="119"/>
      <c r="N43" s="112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148" t="str">
        <f>ПТО!A3</f>
        <v>Приобретение и замена шаровых кранов (Ду 15) и манометров (10 шт.).</v>
      </c>
      <c r="B44" s="148"/>
      <c r="C44" s="148"/>
      <c r="D44" s="148"/>
      <c r="E44" s="148"/>
      <c r="F44" s="153">
        <f>VLOOKUP(A44,ПТО!$A$2:$D$31,4,FALSE)</f>
        <v>453.21000000000004</v>
      </c>
      <c r="G44" s="153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12"/>
      <c r="L44" s="165"/>
      <c r="M44" s="119"/>
      <c r="N44" s="112"/>
      <c r="O44" s="23" t="str">
        <f t="shared" si="1"/>
        <v>Приобретение и замена шаровых кранов (Ду 15) и манометров (10 шт.).</v>
      </c>
      <c r="R44" s="22" t="s">
        <v>72</v>
      </c>
    </row>
    <row r="45" spans="1:18" ht="51" hidden="1" customHeight="1" outlineLevel="1">
      <c r="A45" s="148">
        <f>ПТО!A4</f>
        <v>0</v>
      </c>
      <c r="B45" s="148"/>
      <c r="C45" s="148"/>
      <c r="D45" s="148"/>
      <c r="E45" s="148"/>
      <c r="F45" s="153" t="e">
        <f>VLOOKUP(A45,ПТО!$A$2:$D$31,4,FALSE)</f>
        <v>#N/A</v>
      </c>
      <c r="G45" s="153"/>
      <c r="H45" s="25" t="e">
        <f>VLOOKUP(A45,ПТО!$A$2:$D$31,2,FALSE)</f>
        <v>#N/A</v>
      </c>
      <c r="I45" s="149" t="e">
        <f>VLOOKUP(A45,ПТО!$A$2:$D$31,3,FALSE)</f>
        <v>#N/A</v>
      </c>
      <c r="J45" s="149"/>
      <c r="K45" s="112"/>
      <c r="L45" s="165"/>
      <c r="M45" s="119"/>
      <c r="N45" s="112"/>
      <c r="O45" s="23">
        <f t="shared" si="1"/>
        <v>0</v>
      </c>
      <c r="R45" s="22" t="s">
        <v>72</v>
      </c>
    </row>
    <row r="46" spans="1:18" ht="51" hidden="1" customHeight="1" outlineLevel="1">
      <c r="A46" s="148">
        <f>ПТО!A5</f>
        <v>0</v>
      </c>
      <c r="B46" s="148"/>
      <c r="C46" s="148"/>
      <c r="D46" s="148"/>
      <c r="E46" s="148"/>
      <c r="F46" s="153" t="e">
        <f>VLOOKUP(A46,ПТО!$A$2:$D$31,4,FALSE)</f>
        <v>#N/A</v>
      </c>
      <c r="G46" s="153"/>
      <c r="H46" s="25" t="e">
        <f>VLOOKUP(A46,ПТО!$A$2:$D$31,2,FALSE)</f>
        <v>#N/A</v>
      </c>
      <c r="I46" s="149" t="e">
        <f>VLOOKUP(A46,ПТО!$A$2:$D$31,3,FALSE)</f>
        <v>#N/A</v>
      </c>
      <c r="J46" s="149"/>
      <c r="K46" s="112"/>
      <c r="L46" s="165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8">
        <f>ПТО!A6</f>
        <v>0</v>
      </c>
      <c r="B47" s="148"/>
      <c r="C47" s="148"/>
      <c r="D47" s="148"/>
      <c r="E47" s="148"/>
      <c r="F47" s="153" t="e">
        <f>VLOOKUP(A47,ПТО!$A$2:$D$31,4,FALSE)</f>
        <v>#N/A</v>
      </c>
      <c r="G47" s="153"/>
      <c r="H47" s="25" t="e">
        <f>VLOOKUP(A47,ПТО!$A$2:$D$31,2,FALSE)</f>
        <v>#N/A</v>
      </c>
      <c r="I47" s="149" t="e">
        <f>VLOOKUP(A47,ПТО!$A$2:$D$31,3,FALSE)</f>
        <v>#N/A</v>
      </c>
      <c r="J47" s="149"/>
      <c r="K47" s="112"/>
      <c r="L47" s="165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8">
        <f>ПТО!A7</f>
        <v>0</v>
      </c>
      <c r="B48" s="148"/>
      <c r="C48" s="148"/>
      <c r="D48" s="148"/>
      <c r="E48" s="148"/>
      <c r="F48" s="153" t="e">
        <f>VLOOKUP(A48,ПТО!$A$2:$D$31,4,FALSE)</f>
        <v>#N/A</v>
      </c>
      <c r="G48" s="153"/>
      <c r="H48" s="25" t="e">
        <f>VLOOKUP(A48,ПТО!$A$2:$D$31,2,FALSE)</f>
        <v>#N/A</v>
      </c>
      <c r="I48" s="149" t="e">
        <f>VLOOKUP(A48,ПТО!$A$2:$D$31,3,FALSE)</f>
        <v>#N/A</v>
      </c>
      <c r="J48" s="149"/>
      <c r="K48" s="112"/>
      <c r="L48" s="165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8">
        <f>ПТО!A8</f>
        <v>0</v>
      </c>
      <c r="B49" s="148"/>
      <c r="C49" s="148"/>
      <c r="D49" s="148"/>
      <c r="E49" s="148"/>
      <c r="F49" s="153" t="e">
        <f>VLOOKUP(A49,ПТО!$A$2:$D$31,4,FALSE)</f>
        <v>#N/A</v>
      </c>
      <c r="G49" s="153"/>
      <c r="H49" s="25" t="e">
        <f>VLOOKUP(A49,ПТО!$A$2:$D$31,2,FALSE)</f>
        <v>#N/A</v>
      </c>
      <c r="I49" s="149" t="e">
        <f>VLOOKUP(A49,ПТО!$A$2:$D$31,3,FALSE)</f>
        <v>#N/A</v>
      </c>
      <c r="J49" s="149"/>
      <c r="K49" s="112"/>
      <c r="L49" s="165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2"/>
      <c r="L50" s="165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2"/>
      <c r="L51" s="165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2"/>
      <c r="L52" s="165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2"/>
      <c r="L53" s="165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2"/>
      <c r="L54" s="165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2"/>
      <c r="L55" s="165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2"/>
      <c r="L56" s="165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2"/>
      <c r="L57" s="165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2"/>
      <c r="L58" s="165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2"/>
      <c r="L59" s="165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2"/>
      <c r="L60" s="165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2"/>
      <c r="L61" s="165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2"/>
      <c r="L62" s="165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2"/>
      <c r="L63" s="165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2"/>
      <c r="L64" s="165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2"/>
      <c r="L65" s="165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2"/>
      <c r="L66" s="165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2"/>
      <c r="L67" s="165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2"/>
      <c r="L68" s="165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2"/>
      <c r="L69" s="165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2"/>
      <c r="L70" s="165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9"/>
      <c r="L71" s="165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2"/>
      <c r="L72" s="165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2"/>
      <c r="L75" s="168"/>
      <c r="M75" s="112"/>
      <c r="N75" s="112"/>
      <c r="O75" s="72" t="s">
        <v>98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2"/>
      <c r="L76" s="168"/>
      <c r="M76" s="112"/>
      <c r="N76" s="112"/>
      <c r="O76" s="72" t="s">
        <v>99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2"/>
      <c r="L77" s="168"/>
      <c r="M77" s="112"/>
      <c r="N77" s="112"/>
      <c r="O77" s="72" t="s">
        <v>100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9">
        <f>VLOOKUP(O78,АО,3,FALSE)</f>
        <v>0</v>
      </c>
      <c r="K78" s="112"/>
      <c r="L78" s="168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9">
        <f t="shared" ref="J81:J90" si="2">VLOOKUP(O81,АО,3,FALSE)</f>
        <v>0</v>
      </c>
      <c r="K81" s="112"/>
      <c r="L81" s="154"/>
      <c r="M81" s="112"/>
      <c r="N81" s="112"/>
      <c r="O81" s="72" t="s">
        <v>102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9">
        <f t="shared" si="2"/>
        <v>0</v>
      </c>
      <c r="K82" s="112"/>
      <c r="L82" s="154"/>
      <c r="M82" s="112"/>
      <c r="N82" s="112"/>
      <c r="O82" s="72" t="s">
        <v>103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9">
        <f t="shared" si="2"/>
        <v>6141.97</v>
      </c>
      <c r="K83" s="112"/>
      <c r="L83" s="154"/>
      <c r="M83" s="112"/>
      <c r="N83" s="112"/>
      <c r="O83" s="72" t="s">
        <v>104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9">
        <f t="shared" si="2"/>
        <v>0</v>
      </c>
      <c r="K84" s="112"/>
      <c r="L84" s="154"/>
      <c r="M84" s="112"/>
      <c r="N84" s="112"/>
      <c r="O84" s="72" t="s">
        <v>105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9">
        <f t="shared" si="2"/>
        <v>0</v>
      </c>
      <c r="K85" s="112"/>
      <c r="L85" s="154"/>
      <c r="M85" s="112"/>
      <c r="N85" s="112"/>
      <c r="O85" s="72" t="s">
        <v>106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9">
        <f t="shared" si="2"/>
        <v>5794.4</v>
      </c>
      <c r="K86" s="112"/>
      <c r="L86" s="154"/>
      <c r="M86" s="112"/>
      <c r="N86" s="112"/>
      <c r="O86" s="72" t="s">
        <v>107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2"/>
      <c r="L87" s="154"/>
      <c r="M87" s="112"/>
      <c r="N87" s="112"/>
      <c r="O87" s="72" t="s">
        <v>108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2"/>
      <c r="L88" s="154"/>
      <c r="M88" s="112"/>
      <c r="N88" s="112"/>
      <c r="O88" s="72" t="s">
        <v>109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2"/>
      <c r="L89" s="154"/>
      <c r="M89" s="112"/>
      <c r="N89" s="112"/>
      <c r="O89" s="72" t="s">
        <v>110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9">
        <f t="shared" si="2"/>
        <v>0</v>
      </c>
      <c r="K90" s="112"/>
      <c r="L90" s="154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12"/>
      <c r="L93" s="112"/>
      <c r="M93" s="112"/>
      <c r="N93" s="112"/>
    </row>
    <row r="94" spans="1:15" hidden="1" outlineLevel="1">
      <c r="A94" s="150">
        <f>IF(VLOOKUP("эл",АО,3,FALSE)&gt;0,"Электроснабжение",0)</f>
        <v>0</v>
      </c>
      <c r="B94" s="150"/>
      <c r="C94" s="150"/>
      <c r="D94" s="151">
        <f>IF(VLOOKUP("эл",АО,3,FALSE)&gt;0,VLOOKUP("эл",АО,3,FALSE),0)</f>
        <v>0</v>
      </c>
      <c r="E94" s="151"/>
      <c r="F94" s="13">
        <f>IF(VLOOKUP("эл",АО,3,FALSE)&gt;0,VLOOKUP("эл",АО,4,FALSE),0)</f>
        <v>0</v>
      </c>
      <c r="G94" s="152">
        <f>VLOOKUP("эл",АО,5,FALSE)</f>
        <v>0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hidden="1" outlineLevel="2">
      <c r="A95" s="167">
        <f>IF(VLOOKUP("эл",АО,3,FALSE)&gt;0,VLOOKUP("эл1",АО,2,FALSE),0)</f>
        <v>0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0</v>
      </c>
      <c r="L95" s="155"/>
      <c r="O95" s="1" t="s">
        <v>112</v>
      </c>
    </row>
    <row r="96" spans="1:15" hidden="1" outlineLevel="2">
      <c r="A96" s="167">
        <f>IF(VLOOKUP("эл",АО,3,FALSE)&gt;0,VLOOKUP("эл2",АО,2,FALSE),0)</f>
        <v>0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0</v>
      </c>
      <c r="L96" s="155"/>
      <c r="O96" s="1" t="s">
        <v>113</v>
      </c>
    </row>
    <row r="97" spans="1:15" hidden="1" outlineLevel="2">
      <c r="A97" s="167">
        <f>IF(VLOOKUP("эл",АО,3,FALSE)&gt;0,VLOOKUP("эл3",АО,2,FALSE),0)</f>
        <v>0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55"/>
      <c r="O97" s="1" t="s">
        <v>114</v>
      </c>
    </row>
    <row r="98" spans="1:15" ht="37.5" hidden="1" customHeight="1" outlineLevel="2">
      <c r="A98" s="167">
        <f>IF(VLOOKUP("эл",АО,3,FALSE)&gt;0,VLOOKUP("эл4",АО,2,FALSE),0)</f>
        <v>0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0</v>
      </c>
      <c r="L98" s="155"/>
      <c r="O98" s="1" t="s">
        <v>115</v>
      </c>
    </row>
    <row r="99" spans="1:15" hidden="1" outlineLevel="2">
      <c r="A99" s="167">
        <f>IF(VLOOKUP("эл",АО,3,FALSE)&gt;0,VLOOKUP("эл5",АО,2,FALSE),0)</f>
        <v>0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0</v>
      </c>
      <c r="L99" s="155"/>
      <c r="O99" s="1" t="s">
        <v>116</v>
      </c>
    </row>
    <row r="100" spans="1:15" ht="39" hidden="1" customHeight="1" outlineLevel="2">
      <c r="A100" s="167">
        <f>IF(VLOOKUP("эл",АО,3,FALSE)&gt;0,VLOOKUP("эл6",АО,2,FALSE),0)</f>
        <v>0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117</v>
      </c>
    </row>
    <row r="101" spans="1:15" ht="34.5" hidden="1" customHeight="1" outlineLevel="2">
      <c r="A101" s="167">
        <f>IF(VLOOKUP("эл",АО,3,FALSE)&gt;0,VLOOKUP("эл7",АО,2,FALSE),0)</f>
        <v>0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118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20831.240000000002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1429.74</v>
      </c>
      <c r="L103" s="155"/>
      <c r="O103" s="1" t="s">
        <v>121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21049.57</v>
      </c>
      <c r="L104" s="155"/>
      <c r="O104" s="1" t="s">
        <v>122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0</v>
      </c>
      <c r="L105" s="155"/>
      <c r="O105" s="1" t="s">
        <v>123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20831.240000000002</v>
      </c>
      <c r="L106" s="155"/>
      <c r="O106" s="1" t="s">
        <v>124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20831.240000000002</v>
      </c>
      <c r="L107" s="155"/>
      <c r="O107" s="1" t="s">
        <v>125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126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127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25329.25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1430.22</v>
      </c>
      <c r="L111" s="155"/>
      <c r="O111" s="1" t="s">
        <v>129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25458.49</v>
      </c>
      <c r="L112" s="155"/>
      <c r="O112" s="1" t="s">
        <v>130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0</v>
      </c>
      <c r="L113" s="155"/>
      <c r="O113" s="1" t="s">
        <v>131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25329.25</v>
      </c>
      <c r="L114" s="155"/>
      <c r="O114" s="1" t="s">
        <v>132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25329.25</v>
      </c>
      <c r="L115" s="155"/>
      <c r="O115" s="1" t="s">
        <v>133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134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135</v>
      </c>
    </row>
    <row r="118" spans="1:15" ht="32.25" hidden="1" customHeight="1" outlineLevel="1">
      <c r="A118" s="150">
        <f>IF(VLOOKUP("тко",АО,3,FALSE)&gt;0,"Обращение с ТКО",0)</f>
        <v>0</v>
      </c>
      <c r="B118" s="150"/>
      <c r="C118" s="150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2">
        <f>VLOOKUP("тко",АО,5,FALSE)</f>
        <v>0</v>
      </c>
      <c r="H118" s="151"/>
      <c r="I118" s="151"/>
      <c r="J118" s="151"/>
      <c r="L118" s="49"/>
    </row>
    <row r="119" spans="1:15" ht="32.25" hidden="1" customHeight="1" outlineLevel="2">
      <c r="A119" s="146">
        <f t="shared" ref="A119:A125" si="8">IF(VLOOKUP("тко",АО,3,FALSE)&gt;0,VLOOKUP(O119,АО,2,FALSE),0)</f>
        <v>0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6">
        <f t="shared" si="8"/>
        <v>0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6">
        <f t="shared" si="8"/>
        <v>0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6">
        <f t="shared" si="8"/>
        <v>0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6">
        <f t="shared" si="8"/>
        <v>0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6">
        <f t="shared" si="8"/>
        <v>0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6">
        <f t="shared" si="8"/>
        <v>0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0">
        <f>IF(VLOOKUP("гвс",АО,3,FALSE)&gt;0,"Горячее водоснабжение",0)</f>
        <v>0</v>
      </c>
      <c r="B126" s="150"/>
      <c r="C126" s="150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2">
        <f>VLOOKUP("гвс",АО,5,FALSE)</f>
        <v>0</v>
      </c>
      <c r="H126" s="151"/>
      <c r="I126" s="151"/>
      <c r="J126" s="151"/>
      <c r="L126" s="49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0</v>
      </c>
      <c r="O144" t="s">
        <v>169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6" t="s">
        <v>172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0</v>
      </c>
      <c r="O146" t="s">
        <v>171</v>
      </c>
    </row>
    <row r="149" spans="1:15" ht="52.5" customHeight="1">
      <c r="A149" s="171" t="s">
        <v>175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3" t="s">
        <v>186</v>
      </c>
      <c r="B154" s="173"/>
      <c r="C154" s="173"/>
      <c r="D154" s="173"/>
      <c r="E154" s="27">
        <f>ПТО!G1</f>
        <v>-67425.84</v>
      </c>
    </row>
    <row r="155" spans="1:15" ht="34.5" customHeight="1">
      <c r="A155" s="172" t="s">
        <v>187</v>
      </c>
      <c r="B155" s="172"/>
      <c r="C155" s="172"/>
      <c r="D155" s="172"/>
      <c r="E155" s="28">
        <f>J13</f>
        <v>42274.559999999998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Механизированная уборка и вывоз снега с придомовой территории.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2863</v>
      </c>
      <c r="G158" s="153"/>
      <c r="H158" s="24" t="str">
        <f t="shared" ref="H158:H187" si="16">VLOOKUP(A158,$A$28:$J$72,8,FALSE)</f>
        <v>разово</v>
      </c>
      <c r="I158" s="149">
        <f t="shared" ref="I158:I161" si="17">VLOOKUP(A158,$A$28:$J$72,9,FALSE)</f>
        <v>1</v>
      </c>
      <c r="J158" s="149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148" t="str">
        <f t="shared" si="14"/>
        <v>Приобретение и замена шаровых кранов (Ду 15) и манометров (10 шт.).</v>
      </c>
      <c r="B159" s="148"/>
      <c r="C159" s="148"/>
      <c r="D159" s="148"/>
      <c r="E159" s="148"/>
      <c r="F159" s="153">
        <f t="shared" si="15"/>
        <v>453.21000000000004</v>
      </c>
      <c r="G159" s="153"/>
      <c r="H159" s="24" t="str">
        <f t="shared" si="16"/>
        <v>разово</v>
      </c>
      <c r="I159" s="149">
        <f t="shared" si="17"/>
        <v>1</v>
      </c>
      <c r="J159" s="149"/>
      <c r="M159" s="22" t="s">
        <v>72</v>
      </c>
      <c r="N159" s="1" t="str">
        <v>Приобретение и замена шаровых кранов (Ду 15) и манометров (10 шт.).</v>
      </c>
    </row>
    <row r="160" spans="1:15" ht="28.5" hidden="1" customHeight="1">
      <c r="A160" s="148">
        <f t="shared" si="14"/>
        <v>0</v>
      </c>
      <c r="B160" s="148"/>
      <c r="C160" s="148"/>
      <c r="D160" s="148"/>
      <c r="E160" s="148"/>
      <c r="F160" s="153">
        <f t="shared" si="15"/>
        <v>0</v>
      </c>
      <c r="G160" s="153"/>
      <c r="H160" s="24" t="e">
        <f t="shared" si="16"/>
        <v>#N/A</v>
      </c>
      <c r="I160" s="149" t="e">
        <f t="shared" si="17"/>
        <v>#N/A</v>
      </c>
      <c r="J160" s="149"/>
      <c r="M160" s="22" t="s">
        <v>72</v>
      </c>
      <c r="N160" s="1">
        <v>0</v>
      </c>
    </row>
    <row r="161" spans="1:14" ht="28.5" hidden="1" customHeight="1">
      <c r="A161" s="148">
        <f>IF(N161&gt;0,N161,0)</f>
        <v>0</v>
      </c>
      <c r="B161" s="148"/>
      <c r="C161" s="148"/>
      <c r="D161" s="148"/>
      <c r="E161" s="148"/>
      <c r="F161" s="153">
        <f t="shared" si="15"/>
        <v>0</v>
      </c>
      <c r="G161" s="153"/>
      <c r="H161" s="24" t="e">
        <f t="shared" si="16"/>
        <v>#N/A</v>
      </c>
      <c r="I161" s="149" t="e">
        <f t="shared" si="17"/>
        <v>#N/A</v>
      </c>
      <c r="J161" s="149"/>
      <c r="M161" s="22" t="s">
        <v>72</v>
      </c>
      <c r="N161" s="1">
        <v>0</v>
      </c>
    </row>
    <row r="162" spans="1:14" ht="28.5" hidden="1" customHeight="1">
      <c r="A162" s="148">
        <f t="shared" si="14"/>
        <v>0</v>
      </c>
      <c r="B162" s="148"/>
      <c r="C162" s="148"/>
      <c r="D162" s="148"/>
      <c r="E162" s="148"/>
      <c r="F162" s="153">
        <f t="shared" si="15"/>
        <v>0</v>
      </c>
      <c r="G162" s="153"/>
      <c r="H162" s="24" t="e">
        <f t="shared" si="16"/>
        <v>#N/A</v>
      </c>
      <c r="I162" s="149" t="e">
        <f>VLOOKUP(A162,$A$28:$J$72,9,FALSE)</f>
        <v>#N/A</v>
      </c>
      <c r="J162" s="149"/>
      <c r="M162" s="22" t="s">
        <v>72</v>
      </c>
      <c r="N162" s="1">
        <v>0</v>
      </c>
    </row>
    <row r="163" spans="1:14" ht="28.5" hidden="1" customHeight="1">
      <c r="A163" s="148">
        <f t="shared" si="14"/>
        <v>0</v>
      </c>
      <c r="B163" s="148"/>
      <c r="C163" s="148"/>
      <c r="D163" s="148"/>
      <c r="E163" s="148"/>
      <c r="F163" s="153">
        <f t="shared" si="15"/>
        <v>0</v>
      </c>
      <c r="G163" s="153"/>
      <c r="H163" s="24" t="e">
        <f t="shared" si="16"/>
        <v>#N/A</v>
      </c>
      <c r="I163" s="149" t="e">
        <f>VLOOKUP(A163,$A$28:$J$72,9,FALSE)</f>
        <v>#N/A</v>
      </c>
      <c r="J163" s="149"/>
      <c r="M163" s="22" t="s">
        <v>72</v>
      </c>
      <c r="N163" s="1">
        <v>0</v>
      </c>
    </row>
    <row r="164" spans="1:14" ht="28.5" hidden="1" customHeight="1">
      <c r="A164" s="148">
        <f t="shared" ref="A164:A187" si="18">IF(N164&gt;0,N164,0)</f>
        <v>0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0</v>
      </c>
      <c r="G164" s="153"/>
      <c r="H164" s="29" t="e">
        <f t="shared" si="16"/>
        <v>#N/A</v>
      </c>
      <c r="I164" s="149" t="e">
        <f t="shared" ref="I164:I187" si="20">VLOOKUP(A164,$A$28:$J$72,9,FALSE)</f>
        <v>#N/A</v>
      </c>
      <c r="J164" s="149"/>
      <c r="M164" s="22" t="s">
        <v>72</v>
      </c>
      <c r="N164" s="1">
        <v>0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53">
        <f t="shared" si="19"/>
        <v>0</v>
      </c>
      <c r="G165" s="153"/>
      <c r="H165" s="29" t="e">
        <f t="shared" si="16"/>
        <v>#N/A</v>
      </c>
      <c r="I165" s="149" t="e">
        <f t="shared" si="20"/>
        <v>#N/A</v>
      </c>
      <c r="J165" s="149"/>
      <c r="M165" s="22" t="s">
        <v>72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53">
        <f t="shared" si="19"/>
        <v>0</v>
      </c>
      <c r="G166" s="153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53">
        <f t="shared" si="19"/>
        <v>0</v>
      </c>
      <c r="G167" s="153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53">
        <f t="shared" si="19"/>
        <v>0</v>
      </c>
      <c r="G168" s="153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53">
        <f t="shared" si="19"/>
        <v>0</v>
      </c>
      <c r="G169" s="153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53">
        <f t="shared" si="19"/>
        <v>0</v>
      </c>
      <c r="G170" s="153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53">
        <f t="shared" si="19"/>
        <v>0</v>
      </c>
      <c r="G171" s="153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53">
        <f t="shared" si="19"/>
        <v>0</v>
      </c>
      <c r="G172" s="153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53">
        <f t="shared" si="19"/>
        <v>0</v>
      </c>
      <c r="G173" s="153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53">
        <f t="shared" si="19"/>
        <v>0</v>
      </c>
      <c r="G174" s="153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53">
        <f t="shared" si="19"/>
        <v>0</v>
      </c>
      <c r="G175" s="153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53">
        <f t="shared" si="19"/>
        <v>0</v>
      </c>
      <c r="G176" s="153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53">
        <f t="shared" si="19"/>
        <v>0</v>
      </c>
      <c r="G177" s="153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53">
        <f t="shared" si="19"/>
        <v>0</v>
      </c>
      <c r="G178" s="153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73" t="s">
        <v>188</v>
      </c>
      <c r="B190" s="173"/>
      <c r="C190" s="173"/>
      <c r="D190" s="173"/>
      <c r="E190" s="27">
        <f>SUM(F158:G187)</f>
        <v>3316.21</v>
      </c>
    </row>
    <row r="191" spans="1:14" ht="51.75" customHeight="1">
      <c r="A191" s="173" t="s">
        <v>189</v>
      </c>
      <c r="B191" s="173"/>
      <c r="C191" s="173"/>
      <c r="D191" s="173"/>
      <c r="E191" s="27">
        <f>E190+E154-E155</f>
        <v>-106384.19</v>
      </c>
    </row>
    <row r="192" spans="1:14">
      <c r="A192" s="107" t="s">
        <v>173</v>
      </c>
    </row>
    <row r="193" spans="1:10" ht="62.25" customHeight="1">
      <c r="A193" s="147" t="s">
        <v>190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>
      <c r="A194" s="145" t="str">
        <f>ПТО!F12</f>
        <v xml:space="preserve">  -  поверка (замена) манометров и термометров</v>
      </c>
      <c r="B194" s="145"/>
      <c r="C194" s="145"/>
      <c r="D194" s="145"/>
      <c r="E194" s="145"/>
      <c r="F194" s="145"/>
      <c r="G194" s="145"/>
      <c r="H194" s="51">
        <f>ПТО!G12</f>
        <v>1200</v>
      </c>
      <c r="I194" s="52" t="s">
        <v>74</v>
      </c>
    </row>
    <row r="195" spans="1:10" ht="18.75" customHeight="1">
      <c r="A195" s="145" t="str">
        <f>ПТО!F13</f>
        <v xml:space="preserve">  -  замена тамбурной двери</v>
      </c>
      <c r="B195" s="145"/>
      <c r="C195" s="145"/>
      <c r="D195" s="145"/>
      <c r="E195" s="145"/>
      <c r="F195" s="145"/>
      <c r="G195" s="145"/>
      <c r="H195" s="51">
        <f>ПТО!G13</f>
        <v>60000</v>
      </c>
      <c r="I195" s="52" t="s">
        <v>74</v>
      </c>
    </row>
    <row r="196" spans="1:10" ht="18.75" customHeight="1">
      <c r="A196" s="145" t="str">
        <f>ПТО!F14</f>
        <v xml:space="preserve">  -  ремонт крыльца</v>
      </c>
      <c r="B196" s="145"/>
      <c r="C196" s="145"/>
      <c r="D196" s="145"/>
      <c r="E196" s="145"/>
      <c r="F196" s="145"/>
      <c r="G196" s="145"/>
      <c r="H196" s="51">
        <f>ПТО!G14</f>
        <v>60000</v>
      </c>
      <c r="I196" s="52" t="s">
        <v>74</v>
      </c>
    </row>
    <row r="197" spans="1:10" ht="18.75" hidden="1" customHeight="1">
      <c r="A197" s="145">
        <f>ПТО!F15</f>
        <v>0</v>
      </c>
      <c r="B197" s="145"/>
      <c r="C197" s="145"/>
      <c r="D197" s="145"/>
      <c r="E197" s="145"/>
      <c r="F197" s="145"/>
      <c r="G197" s="145"/>
      <c r="H197" s="51">
        <f>ПТО!G15</f>
        <v>0</v>
      </c>
      <c r="I197" s="52" t="s">
        <v>74</v>
      </c>
    </row>
    <row r="198" spans="1:10" ht="18.75" hidden="1" customHeight="1">
      <c r="A198" s="145">
        <f>ПТО!F16</f>
        <v>0</v>
      </c>
      <c r="B198" s="145"/>
      <c r="C198" s="145"/>
      <c r="D198" s="145"/>
      <c r="E198" s="145"/>
      <c r="F198" s="145"/>
      <c r="G198" s="145"/>
      <c r="H198" s="51">
        <f>ПТО!G16</f>
        <v>0</v>
      </c>
      <c r="I198" s="54" t="s">
        <v>74</v>
      </c>
    </row>
    <row r="199" spans="1:10" ht="18.75" hidden="1" customHeight="1">
      <c r="A199" s="145">
        <f>ПТО!F17</f>
        <v>0</v>
      </c>
      <c r="B199" s="145"/>
      <c r="C199" s="145"/>
      <c r="D199" s="145"/>
      <c r="E199" s="145"/>
      <c r="F199" s="145"/>
      <c r="G199" s="145"/>
      <c r="H199" s="51">
        <f>ПТО!G17</f>
        <v>0</v>
      </c>
      <c r="I199" s="52" t="s">
        <v>74</v>
      </c>
    </row>
    <row r="200" spans="1:10" hidden="1">
      <c r="A200" s="145">
        <f>ПТО!F18</f>
        <v>0</v>
      </c>
      <c r="B200" s="145"/>
      <c r="C200" s="145"/>
      <c r="D200" s="145"/>
      <c r="E200" s="145"/>
      <c r="F200" s="145"/>
      <c r="G200" s="145"/>
      <c r="H200" s="51">
        <f>ПТО!G18</f>
        <v>0</v>
      </c>
      <c r="I200" s="52" t="s">
        <v>74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51">
        <f>ПТО!G19</f>
        <v>0</v>
      </c>
      <c r="I201" s="52" t="s">
        <v>74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51">
        <f>ПТО!G20</f>
        <v>0</v>
      </c>
      <c r="I202" s="52" t="s">
        <v>74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51">
        <f>ПТО!G21</f>
        <v>0</v>
      </c>
      <c r="I203" s="52" t="s">
        <v>74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51">
        <f>ПТО!G22</f>
        <v>0</v>
      </c>
      <c r="I204" s="52" t="s">
        <v>74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51">
        <f>ПТО!G23</f>
        <v>0</v>
      </c>
      <c r="I205" s="52" t="s">
        <v>74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51">
        <f>ПТО!G24</f>
        <v>0</v>
      </c>
      <c r="I206" s="52" t="s">
        <v>74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51">
        <f>ПТО!G25</f>
        <v>0</v>
      </c>
      <c r="I207" s="52" t="s">
        <v>74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51">
        <f>ПТО!G26</f>
        <v>0</v>
      </c>
      <c r="I208" s="52" t="s">
        <v>74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51">
        <f>ПТО!G27</f>
        <v>0</v>
      </c>
      <c r="I209" s="52" t="s">
        <v>74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51">
        <f>ПТО!G28</f>
        <v>0</v>
      </c>
      <c r="I210" s="52" t="s">
        <v>74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51">
        <f>ПТО!G29</f>
        <v>0</v>
      </c>
      <c r="I211" s="52" t="s">
        <v>74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51">
        <f>ПТО!G30</f>
        <v>0</v>
      </c>
      <c r="I212" s="52" t="s">
        <v>74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121200</v>
      </c>
      <c r="I214" s="58" t="s">
        <v>76</v>
      </c>
    </row>
  </sheetData>
  <sheetProtection algorithmName="SHA-512" hashValue="rFwEKbe/hpSF2qQwYO57pq0bDQVPVO0TVLTkUFypnKohVtqrvseS4d3g4jdP7x2baFeqtF6U6PeIOuZ2QiFNcg==" saltValue="We6YyePSk9n7KrP4t4uea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1" sqref="G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186</v>
      </c>
      <c r="G1" s="104">
        <f>-67425.84</f>
        <v>-67425.84</v>
      </c>
    </row>
    <row r="2" spans="1:12" ht="18.75" customHeight="1">
      <c r="A2" s="129" t="s">
        <v>191</v>
      </c>
      <c r="B2" s="130" t="s">
        <v>177</v>
      </c>
      <c r="C2" s="131">
        <v>1</v>
      </c>
      <c r="D2" s="132">
        <v>2863</v>
      </c>
      <c r="E2" s="133" t="s">
        <v>192</v>
      </c>
      <c r="F2" s="32"/>
      <c r="G2" s="32"/>
      <c r="L2" s="33" t="str">
        <f t="shared" ref="L2:L22" si="0">IF(A2&gt;0,"ТР",0)</f>
        <v>ТР</v>
      </c>
    </row>
    <row r="3" spans="1:12" ht="33.75" customHeight="1">
      <c r="A3" s="137" t="s">
        <v>194</v>
      </c>
      <c r="B3" s="134" t="s">
        <v>177</v>
      </c>
      <c r="C3" s="135">
        <v>1</v>
      </c>
      <c r="D3" s="136">
        <f>31.11+422.1</f>
        <v>453.21000000000004</v>
      </c>
      <c r="E3" s="133" t="s">
        <v>193</v>
      </c>
      <c r="F3" s="30"/>
      <c r="G3" s="30"/>
      <c r="L3" s="33" t="str">
        <f t="shared" si="0"/>
        <v>ТР</v>
      </c>
    </row>
    <row r="4" spans="1:12" ht="18.75" customHeight="1">
      <c r="A4" s="138"/>
      <c r="B4" s="139"/>
      <c r="C4" s="140"/>
      <c r="D4" s="141"/>
      <c r="E4" s="142"/>
      <c r="F4" s="30"/>
      <c r="G4" s="30"/>
      <c r="L4" s="33">
        <f t="shared" si="0"/>
        <v>0</v>
      </c>
    </row>
    <row r="5" spans="1:12" ht="18.75" customHeight="1">
      <c r="A5" s="121"/>
      <c r="B5" s="122"/>
      <c r="C5" s="123"/>
      <c r="D5" s="124"/>
      <c r="E5" s="125"/>
      <c r="F5" s="46"/>
      <c r="G5" s="46"/>
      <c r="K5" s="48"/>
      <c r="L5" s="33">
        <f t="shared" si="0"/>
        <v>0</v>
      </c>
    </row>
    <row r="6" spans="1:12" ht="18.75" customHeight="1">
      <c r="A6" s="47"/>
      <c r="B6" s="43"/>
      <c r="C6" s="45"/>
      <c r="D6" s="48"/>
      <c r="E6" s="47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190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15.75">
      <c r="A13" s="30"/>
      <c r="F13" s="115" t="s">
        <v>185</v>
      </c>
      <c r="G13" s="116">
        <v>60000</v>
      </c>
      <c r="L13" s="33">
        <f t="shared" si="0"/>
        <v>0</v>
      </c>
    </row>
    <row r="14" spans="1:12" ht="15.75">
      <c r="A14" s="30"/>
      <c r="F14" s="144" t="s">
        <v>195</v>
      </c>
      <c r="G14" s="143">
        <v>60000</v>
      </c>
      <c r="L14" s="33">
        <f t="shared" si="0"/>
        <v>0</v>
      </c>
    </row>
    <row r="15" spans="1:12" ht="15.75">
      <c r="A15" s="30"/>
      <c r="F15" s="115"/>
      <c r="G15" s="117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15048.24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15048.24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21176.04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21176.04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9153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9153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3102.72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3102.72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28389.84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28389.84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26"/>
      <c r="C47" s="127"/>
      <c r="D47" s="50"/>
      <c r="E47" s="126">
        <v>145.30000000000001</v>
      </c>
      <c r="F47" s="126">
        <v>145.30000000000001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8" t="s">
        <v>178</v>
      </c>
      <c r="F52" s="128" t="s">
        <v>179</v>
      </c>
      <c r="G52" s="128" t="s">
        <v>180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8">
        <v>35.896999999999998</v>
      </c>
      <c r="F53" s="126">
        <v>646.4</v>
      </c>
      <c r="G53" s="128">
        <v>2.5</v>
      </c>
      <c r="H53" s="128">
        <f>G53*E47/F53</f>
        <v>0.56195853960396036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8"/>
      <c r="F54" s="128" t="s">
        <v>181</v>
      </c>
      <c r="G54" s="128" t="s">
        <v>182</v>
      </c>
      <c r="H54" s="128">
        <f>H53*G56</f>
        <v>19.612353032178216</v>
      </c>
    </row>
    <row r="55" spans="5:16">
      <c r="E55" s="128"/>
      <c r="F55" s="128">
        <v>1.17</v>
      </c>
      <c r="G55" s="128">
        <v>1.23</v>
      </c>
      <c r="H55" s="128"/>
    </row>
    <row r="56" spans="5:16">
      <c r="E56" s="128"/>
      <c r="F56" s="128"/>
      <c r="G56" s="128">
        <v>34.9</v>
      </c>
      <c r="H56" s="128"/>
    </row>
    <row r="57" spans="5:16">
      <c r="E57" s="128"/>
      <c r="F57" s="128"/>
      <c r="G57" s="128"/>
      <c r="H57" s="128"/>
    </row>
    <row r="58" spans="5:16">
      <c r="E58" s="128" t="s">
        <v>183</v>
      </c>
      <c r="F58" s="128"/>
      <c r="G58" s="128"/>
      <c r="H58" s="128"/>
    </row>
    <row r="59" spans="5:16">
      <c r="E59" s="128">
        <v>0.59599999999999997</v>
      </c>
      <c r="F59" s="126">
        <v>646.4</v>
      </c>
      <c r="G59" s="128">
        <v>7.4999999999999997E-2</v>
      </c>
      <c r="H59" s="128">
        <f>G59*F47</f>
        <v>10.897500000000001</v>
      </c>
    </row>
    <row r="60" spans="5:16">
      <c r="E60" s="128"/>
      <c r="F60" s="128" t="s">
        <v>181</v>
      </c>
      <c r="G60" s="128" t="s">
        <v>182</v>
      </c>
      <c r="H60" s="128">
        <f>H59/F59</f>
        <v>1.6858756188118815E-2</v>
      </c>
    </row>
    <row r="61" spans="5:16">
      <c r="E61" s="128"/>
      <c r="F61" s="128">
        <v>12.94</v>
      </c>
      <c r="G61" s="128">
        <v>13.45</v>
      </c>
      <c r="H61" s="128">
        <f>H60*G56</f>
        <v>0.58837059096534661</v>
      </c>
    </row>
    <row r="62" spans="5:16">
      <c r="E62" s="128" t="s">
        <v>184</v>
      </c>
      <c r="F62" s="128"/>
      <c r="G62" s="128"/>
      <c r="H62" s="128"/>
    </row>
    <row r="63" spans="5:16">
      <c r="E63" s="128">
        <v>0.59599999999999997</v>
      </c>
      <c r="F63" s="126">
        <v>646.4</v>
      </c>
      <c r="G63" s="128">
        <v>7.4999999999999997E-2</v>
      </c>
      <c r="H63" s="128">
        <f>G63*F47</f>
        <v>10.897500000000001</v>
      </c>
    </row>
    <row r="64" spans="5:16">
      <c r="E64" s="128"/>
      <c r="F64" s="128" t="s">
        <v>181</v>
      </c>
      <c r="G64" s="128" t="s">
        <v>182</v>
      </c>
      <c r="H64" s="128">
        <f>H63/F63</f>
        <v>1.6858756188118815E-2</v>
      </c>
    </row>
    <row r="65" spans="4:13" ht="18.75" customHeight="1">
      <c r="E65" s="128"/>
      <c r="F65" s="128">
        <v>15.73</v>
      </c>
      <c r="G65" s="128">
        <v>16.350000000000001</v>
      </c>
      <c r="H65" s="128">
        <f>H64*G56</f>
        <v>0.58837059096534661</v>
      </c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TbLSiX3xQXt0JIY1gKg0zQ6sOawHcA2Yoep1Hv6PKUJj4trzv6SrEytE0kvSahH0xp9i/2QXCwPcpyVh5N213Q==" saltValue="84JPSZ0gdsWDAdl/3UTqn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646.4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19213.68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157928.52000000002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76869.960000000006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42274.559999999998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38784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165084.24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165084.24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165084.24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12057.960000000021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6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6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6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6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5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5"/>
      <c r="N26" s="65"/>
    </row>
    <row r="27" spans="1:15" ht="18.75" customHeight="1">
      <c r="A27" s="72" t="s">
        <v>104</v>
      </c>
      <c r="B27" s="77" t="s">
        <v>4</v>
      </c>
      <c r="C27" s="88">
        <v>6141.97</v>
      </c>
      <c r="D27" s="83" t="s">
        <v>60</v>
      </c>
      <c r="E27" s="66"/>
      <c r="F27" s="66"/>
      <c r="G27" s="66"/>
      <c r="H27" s="66"/>
      <c r="I27" s="66"/>
      <c r="J27" s="66"/>
      <c r="M27" s="175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5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5"/>
      <c r="N29" s="65"/>
    </row>
    <row r="30" spans="1:15" ht="18.75" customHeight="1">
      <c r="A30" s="72" t="s">
        <v>107</v>
      </c>
      <c r="B30" s="77" t="s">
        <v>18</v>
      </c>
      <c r="C30" s="88">
        <v>5794.4</v>
      </c>
      <c r="D30" s="83" t="s">
        <v>66</v>
      </c>
      <c r="E30" s="66"/>
      <c r="F30" s="66"/>
      <c r="G30" s="66"/>
      <c r="H30" s="66"/>
      <c r="I30" s="66"/>
      <c r="J30" s="66"/>
      <c r="M30" s="175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5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5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5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5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>
        <f>IF(E37&gt;0,"Предоставляется",0)</f>
        <v>0</v>
      </c>
      <c r="D37" s="98" t="s">
        <v>52</v>
      </c>
      <c r="E37" s="97"/>
      <c r="F37" s="96" t="s">
        <v>166</v>
      </c>
      <c r="G37" s="68"/>
      <c r="H37" s="68"/>
      <c r="I37" s="68"/>
      <c r="L37" s="65"/>
      <c r="M37" s="174"/>
      <c r="N37" s="65"/>
      <c r="O37" s="65"/>
    </row>
    <row r="38" spans="1:15" ht="18.75" customHeight="1">
      <c r="A38" s="72" t="s">
        <v>112</v>
      </c>
      <c r="B38" s="80" t="s">
        <v>37</v>
      </c>
      <c r="C38" s="92"/>
      <c r="D38" s="96" t="s">
        <v>164</v>
      </c>
      <c r="E38" s="70"/>
      <c r="G38" s="69"/>
      <c r="H38" s="69"/>
      <c r="L38" s="65"/>
      <c r="M38" s="174"/>
      <c r="N38" s="65"/>
      <c r="O38" s="65"/>
    </row>
    <row r="39" spans="1:15" ht="18.75" customHeight="1">
      <c r="A39" s="72" t="s">
        <v>113</v>
      </c>
      <c r="B39" s="80" t="s">
        <v>38</v>
      </c>
      <c r="C39" s="93"/>
      <c r="D39" s="96" t="s">
        <v>165</v>
      </c>
      <c r="E39" s="70"/>
      <c r="G39" s="69"/>
      <c r="H39" s="69"/>
      <c r="L39" s="65"/>
      <c r="M39" s="174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4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0</v>
      </c>
      <c r="D41" s="82" t="s">
        <v>59</v>
      </c>
      <c r="E41" s="70"/>
      <c r="G41" s="69"/>
      <c r="H41" s="69"/>
      <c r="L41" s="65"/>
      <c r="M41" s="174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0</v>
      </c>
      <c r="D42" s="82" t="s">
        <v>59</v>
      </c>
      <c r="E42" s="70"/>
      <c r="G42" s="69"/>
      <c r="H42" s="69"/>
      <c r="L42" s="65"/>
      <c r="M42" s="174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4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4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20831.240000000002</v>
      </c>
      <c r="F45" s="96" t="s">
        <v>166</v>
      </c>
      <c r="G45" s="68"/>
      <c r="H45" s="68"/>
      <c r="L45" s="65"/>
      <c r="M45" s="174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1429.74</v>
      </c>
      <c r="D46" s="96" t="s">
        <v>167</v>
      </c>
      <c r="E46" s="70"/>
      <c r="G46" s="69"/>
      <c r="H46" s="69"/>
      <c r="L46" s="65"/>
      <c r="M46" s="174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21049.57</v>
      </c>
      <c r="D47" s="96" t="s">
        <v>165</v>
      </c>
      <c r="E47" s="70"/>
      <c r="G47" s="69"/>
      <c r="H47" s="69"/>
      <c r="L47" s="65"/>
      <c r="M47" s="174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4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20831.240000000002</v>
      </c>
      <c r="D49" s="82" t="s">
        <v>59</v>
      </c>
      <c r="E49" s="70"/>
      <c r="G49" s="69"/>
      <c r="H49" s="69"/>
      <c r="L49" s="65"/>
      <c r="M49" s="174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20831.240000000002</v>
      </c>
      <c r="D50" s="82" t="s">
        <v>59</v>
      </c>
      <c r="E50" s="70"/>
      <c r="G50" s="69"/>
      <c r="H50" s="69"/>
      <c r="L50" s="65"/>
      <c r="M50" s="174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4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4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25329.25</v>
      </c>
      <c r="F53" s="96" t="s">
        <v>166</v>
      </c>
      <c r="G53" s="68"/>
      <c r="H53" s="68"/>
      <c r="L53" s="65"/>
      <c r="M53" s="174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1430.22</v>
      </c>
      <c r="D54" s="96" t="s">
        <v>167</v>
      </c>
      <c r="E54" s="71"/>
      <c r="F54" s="91"/>
      <c r="G54" s="66"/>
      <c r="H54" s="66"/>
      <c r="L54" s="65"/>
      <c r="M54" s="174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25458.49</v>
      </c>
      <c r="D55" s="96" t="s">
        <v>165</v>
      </c>
      <c r="E55" s="71"/>
      <c r="G55" s="66"/>
      <c r="H55" s="66"/>
      <c r="L55" s="65"/>
      <c r="M55" s="174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4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25329.25</v>
      </c>
      <c r="D57" s="82" t="s">
        <v>59</v>
      </c>
      <c r="E57" s="71"/>
      <c r="G57" s="66"/>
      <c r="H57" s="66"/>
      <c r="L57" s="65"/>
      <c r="M57" s="174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25329.25</v>
      </c>
      <c r="D58" s="82" t="s">
        <v>59</v>
      </c>
      <c r="E58" s="71"/>
      <c r="G58" s="66"/>
      <c r="H58" s="66"/>
      <c r="L58" s="65"/>
      <c r="M58" s="174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4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4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/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/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/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/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/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/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/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/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/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/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/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2024-03-28T03:49:53Z</dcterms:modified>
</cp:coreProperties>
</file>