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7" i="3" l="1"/>
  <c r="D7" i="2" l="1"/>
  <c r="G1" i="2" l="1"/>
  <c r="H59" i="2" l="1"/>
  <c r="H60" i="2" s="1"/>
  <c r="H61" i="2" s="1"/>
  <c r="H53" i="2"/>
  <c r="H54" i="2" s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5" i="1"/>
  <c r="A113" i="1"/>
  <c r="A111" i="1"/>
  <c r="G110" i="1"/>
  <c r="A110" i="1"/>
  <c r="J109" i="1"/>
  <c r="J104" i="1"/>
  <c r="J103" i="1"/>
  <c r="G102" i="1"/>
  <c r="F102" i="1"/>
  <c r="J101" i="1"/>
  <c r="J96" i="1"/>
  <c r="J95" i="1"/>
  <c r="A95" i="1"/>
  <c r="G94" i="1"/>
  <c r="K94" i="1"/>
  <c r="A105" i="1" l="1"/>
  <c r="A109" i="1"/>
  <c r="F118" i="1"/>
  <c r="F110" i="1"/>
  <c r="A114" i="1"/>
  <c r="A122" i="1"/>
  <c r="F134" i="1"/>
  <c r="A141" i="1"/>
  <c r="A137" i="1"/>
  <c r="A123" i="1"/>
  <c r="A119" i="1"/>
  <c r="A125" i="1"/>
  <c r="A118" i="1"/>
  <c r="A121" i="1"/>
  <c r="D110" i="1"/>
  <c r="A112" i="1"/>
  <c r="A94" i="1"/>
  <c r="A96" i="1"/>
  <c r="D94" i="1"/>
  <c r="A99" i="1"/>
  <c r="A100" i="1"/>
  <c r="F94" i="1"/>
  <c r="A101" i="1"/>
  <c r="A102" i="1"/>
  <c r="A107" i="1"/>
  <c r="A134" i="1"/>
  <c r="A135" i="1"/>
  <c r="A139" i="1"/>
  <c r="A106" i="1"/>
  <c r="A138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60" i="1"/>
  <c r="A158" i="1"/>
  <c r="E155" i="1"/>
  <c r="F187" i="1" l="1"/>
  <c r="F181" i="1"/>
  <c r="H173" i="1"/>
  <c r="H166" i="1"/>
  <c r="F165" i="1"/>
  <c r="F177" i="1"/>
  <c r="F175" i="1"/>
  <c r="H187" i="1"/>
  <c r="H182" i="1"/>
  <c r="H183" i="1"/>
  <c r="H175" i="1"/>
  <c r="H172" i="1"/>
  <c r="F178" i="1"/>
  <c r="F173" i="1"/>
  <c r="F179" i="1"/>
  <c r="F172" i="1"/>
  <c r="H167" i="1"/>
  <c r="F167" i="1"/>
  <c r="F180" i="1"/>
  <c r="H186" i="1"/>
  <c r="H180" i="1"/>
  <c r="F174" i="1"/>
  <c r="H174" i="1"/>
  <c r="F183" i="1"/>
  <c r="H164" i="1"/>
  <c r="F176" i="1"/>
  <c r="F184" i="1"/>
  <c r="F168" i="1"/>
  <c r="H176" i="1"/>
  <c r="H178" i="1"/>
  <c r="H168" i="1"/>
  <c r="H184" i="1"/>
  <c r="F185" i="1"/>
  <c r="F170" i="1"/>
  <c r="H165" i="1"/>
  <c r="F164" i="1"/>
  <c r="H170" i="1"/>
  <c r="F186" i="1"/>
  <c r="H177" i="1"/>
  <c r="F182" i="1"/>
  <c r="H179" i="1"/>
  <c r="H169" i="1"/>
  <c r="F169" i="1"/>
  <c r="F171" i="1"/>
  <c r="H171" i="1"/>
  <c r="H185" i="1"/>
  <c r="H181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<sst xmlns="http://schemas.openxmlformats.org/spreadsheetml/2006/main" count="564" uniqueCount="210">
  <si>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</si>
  <si>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</si>
  <si>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</si>
  <si>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</si>
  <si>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</si>
  <si>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</si>
  <si>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</si>
  <si>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</si>
  <si>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</si>
  <si>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</si>
  <si>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</si>
  <si>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</si>
  <si>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</si>
  <si>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</si>
  <si>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</si>
  <si>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</si>
  <si>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</si>
  <si>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</si>
  <si>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</si>
  <si>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</si>
  <si>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</si>
  <si>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</si>
  <si>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</si>
  <si>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</si>
  <si>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</si>
  <si>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</si>
  <si>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</si>
  <si>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</si>
  <si>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</si>
  <si>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</si>
  <si>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</si>
  <si>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</si>
  <si>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</si>
  <si>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</si>
  <si>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</si>
  <si>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</si>
  <si>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</si>
  <si>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</si>
  <si>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</si>
  <si>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</si>
  <si>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</si>
  <si>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</si>
  <si>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</si>
  <si>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</si>
  <si>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</si>
  <si>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</si>
  <si>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</si>
  <si>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</si>
  <si>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</si>
  <si>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</si>
  <si>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</si>
  <si>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</si>
  <si>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</si>
  <si>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</si>
  <si>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</si>
  <si>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</si>
  <si>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</si>
  <si>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</si>
  <si>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</si>
  <si>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</si>
  <si>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</si>
  <si>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</si>
  <si>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</si>
  <si>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</si>
  <si>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</si>
  <si>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</si>
  <si>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</si>
  <si>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</si>
  <si>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</si>
  <si>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</si>
  <si>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</si>
  <si>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</si>
  <si>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</si>
  <si>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</si>
  <si>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</si>
  <si>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</si>
  <si>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</si>
  <si>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</si>
  <si>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</si>
  <si>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</si>
  <si>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</si>
  <si>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</si>
  <si>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</si>
  <si>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</si>
  <si>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</si>
  <si>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</si>
  <si>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</si>
  <si>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</si>
  <si>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</si>
  <si>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</si>
  <si>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</si>
  <si>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</si>
  <si>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</si>
  <si>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</si>
  <si>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</si>
  <si>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</si>
  <si>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</si>
  <si>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</si>
  <si>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</si>
  <si>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</si>
  <si>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</si>
  <si>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</si>
  <si>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</si>
  <si>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</si>
  <si>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</si>
  <si>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</si>
  <si>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</si>
  <si>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</si>
  <si>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</si>
  <si>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</si>
  <si>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</si>
  <si>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</si>
  <si>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</si>
  <si>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</si>
  <si>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</si>
  <si>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</si>
  <si>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</si>
  <si>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</si>
  <si>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</si>
  <si>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</si>
  <si>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</si>
  <si>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</si>
  <si>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</si>
  <si>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</si>
  <si>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</si>
  <si>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</si>
  <si>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</si>
  <si>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</si>
  <si>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</si>
  <si>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</si>
  <si>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</si>
  <si>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</si>
  <si>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</si>
  <si>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</si>
  <si>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</si>
  <si>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</si>
  <si>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</si>
  <si>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</si>
  <si>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</si>
  <si>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</si>
  <si>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</si>
  <si>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</si>
  <si>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</si>
  <si>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</si>
  <si>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</si>
  <si>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</si>
  <si>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</si>
  <si>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</si>
  <si>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</si>
  <si>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</si>
  <si>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</si>
  <si>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</si>
  <si>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</si>
  <si>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</si>
  <si>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</si>
  <si>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</si>
  <si>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</si>
  <si>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</si>
  <si>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</si>
  <si>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</si>
  <si>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</si>
  <si>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</si>
  <si>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</si>
  <si>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</si>
  <si>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</si>
  <si>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</si>
  <si>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</si>
  <si>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</si>
  <si>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</si>
  <si>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</si>
  <si>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</si>
  <si>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</si>
  <si>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</si>
  <si>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</si>
  <si>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</si>
  <si>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33/6</t>
  </si>
  <si>
    <t>Отчет об исполнении договора управления многоквартирного дома 
Первомайский, 33/6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</si>
  <si>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</si>
  <si>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</si>
  <si>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площадь дома</t>
  </si>
  <si>
    <t>Начало отчетного периода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</si>
  <si>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</si>
  <si>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</si>
  <si>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</si>
  <si>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</si>
  <si>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</si>
  <si>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</si>
  <si>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</si>
  <si>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</si>
  <si>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светильника в лифте.</t>
  </si>
  <si>
    <t>Промышленная очистка кровли от снега (957 м2).</t>
  </si>
  <si>
    <t>АВР 1/23 от 20.02.2023, Решение</t>
  </si>
  <si>
    <t>АВР 3/23 от 27.02.2023, Решение</t>
  </si>
  <si>
    <t>АВР 4/23 от 10.04.2023, Решение, счет №96 от 13.02.2023</t>
  </si>
  <si>
    <t>АВР 2/23 от 13.04.2023, Решение, счет №11088 от 22.03.2023</t>
  </si>
  <si>
    <t>Замена шаровых кранов и муфт (Ду32 и Ду20).</t>
  </si>
  <si>
    <t>Генеральная уборка подъездов.</t>
  </si>
  <si>
    <t>АВР 6/23 от 24.05.2023, Решение</t>
  </si>
  <si>
    <t>АВР 7/23 от 01.11.2023, Решение, счет №55008 от 18.10.2023</t>
  </si>
  <si>
    <t>Замена АКБ регистратора системы видеонаблюдения.</t>
  </si>
  <si>
    <t>АВР 5/23 от 20.12.2023, счет №4397 от 13.06.2023</t>
  </si>
  <si>
    <t>АВР 8/23 от 10.11.2023, Решение, счет №34 от 10.11.2023</t>
  </si>
  <si>
    <t>АВР 9/23 от 20.12.2023</t>
  </si>
  <si>
    <t>тариф 4,74</t>
  </si>
  <si>
    <t>с 01.12.2023 на осн. Протокола №1 от 20.08.2023</t>
  </si>
  <si>
    <t>лифт</t>
  </si>
  <si>
    <t>в содержании с 01.12.2023</t>
  </si>
  <si>
    <t xml:space="preserve">  -  очистка кровли от снега</t>
  </si>
  <si>
    <t>Приобретение грязезащитного покрытия в тамбур (подъезд №1).</t>
  </si>
  <si>
    <t>Приобретение и замена доводчика на тамбурной двери (подъезд №1).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</si>
</sst>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38" fillId="0" borderId="0" xfId="0" applyNumberFormat="1" applyFont="1"/>
    <xf numFmtId="0" fontId="14" fillId="0" borderId="0" xfId="5" applyFill="1" applyBorder="1" applyAlignment="1">
      <alignment horizontal="center"/>
    </xf>
    <xf numFmtId="0" fontId="28" fillId="0" borderId="0" xfId="5" applyFont="1" applyFill="1" applyBorder="1" applyAlignment="1"/>
    <xf numFmtId="4" fontId="14" fillId="0" borderId="0" xfId="5" applyNumberFormat="1" applyFill="1" applyBorder="1" applyAlignment="1"/>
    <xf numFmtId="4" fontId="20" fillId="0" borderId="0" xfId="0" applyNumberFormat="1" applyFont="1" applyBorder="1"/>
    <xf numFmtId="0" fontId="1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0" fillId="3" borderId="0" xfId="6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20" fillId="0" borderId="0" xfId="0" applyNumberFormat="1" applyFont="1" applyFill="1" applyBorder="1"/>
    <xf numFmtId="0" fontId="10" fillId="0" borderId="0" xfId="10" applyFont="1" applyFill="1" applyBorder="1" applyAlignment="1"/>
    <xf numFmtId="0" fontId="11" fillId="0" borderId="0" xfId="10" applyFont="1" applyFill="1" applyBorder="1" applyAlignment="1">
      <alignment horizontal="center"/>
    </xf>
    <xf numFmtId="0" fontId="28" fillId="0" borderId="0" xfId="10" applyNumberFormat="1" applyFont="1" applyFill="1" applyBorder="1" applyAlignment="1">
      <alignment horizontal="center" vertical="center"/>
    </xf>
    <xf numFmtId="4" fontId="11" fillId="0" borderId="0" xfId="10" applyNumberFormat="1" applyFill="1" applyBorder="1" applyAlignment="1"/>
    <xf numFmtId="0" fontId="10" fillId="0" borderId="0" xfId="10" applyFont="1" applyFill="1" applyBorder="1"/>
    <xf numFmtId="0" fontId="9" fillId="0" borderId="0" xfId="4" applyFont="1" applyFill="1" applyBorder="1" applyAlignment="1">
      <alignment horizontal="center"/>
    </xf>
    <xf numFmtId="0" fontId="15" fillId="0" borderId="0" xfId="4" applyFill="1" applyBorder="1" applyAlignment="1">
      <alignment horizontal="center"/>
    </xf>
    <xf numFmtId="0" fontId="11" fillId="0" borderId="0" xfId="10" applyFont="1" applyFill="1" applyBorder="1" applyAlignment="1"/>
    <xf numFmtId="0" fontId="8" fillId="0" borderId="0" xfId="10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0" fillId="0" borderId="0" xfId="0" applyFill="1" applyBorder="1"/>
    <xf numFmtId="0" fontId="4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2" fillId="0" borderId="0" xfId="5" applyFont="1" applyFill="1" applyBorder="1"/>
    <xf numFmtId="4" fontId="28" fillId="0" borderId="0" xfId="5" applyNumberFormat="1" applyFont="1" applyFill="1" applyBorder="1" applyAlignment="1"/>
    <xf numFmtId="4" fontId="20" fillId="4" borderId="0" xfId="0" applyNumberFormat="1" applyFont="1" applyFill="1" applyBorder="1" applyAlignment="1" applyProtection="1">
      <alignment wrapText="1"/>
      <protection locked="0"/>
    </xf>
    <xf numFmtId="0" fontId="20" fillId="6" borderId="0" xfId="0" applyFont="1" applyFill="1" applyBorder="1" applyAlignment="1" applyProtection="1">
      <alignment wrapText="1"/>
      <protection locked="0"/>
    </xf>
    <xf numFmtId="0" fontId="20" fillId="4" borderId="0" xfId="0" applyFont="1" applyFill="1" applyBorder="1" applyAlignment="1" applyProtection="1">
      <alignment wrapText="1"/>
      <protection locked="0"/>
    </xf>
    <xf numFmtId="0" fontId="28" fillId="6" borderId="0" xfId="2" applyFont="1" applyFill="1" applyBorder="1" applyAlignment="1"/>
    <xf numFmtId="0" fontId="1" fillId="0" borderId="0" xfId="2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7"/>
    <cellStyle name="Обычный 2 4" xfId="13"/>
    <cellStyle name="Обычный 2 5" xfId="6"/>
    <cellStyle name="Обычный 2 5 2" xfId="12"/>
    <cellStyle name="Обычный 2 5 3" xfId="17"/>
    <cellStyle name="Обычный 3" xfId="2"/>
    <cellStyle name="Обычный 3 2" xfId="8"/>
    <cellStyle name="Обычный 3 3" xfId="14"/>
    <cellStyle name="Обычный 4" xfId="4"/>
    <cellStyle name="Обычный 4 2" xfId="9"/>
    <cellStyle name="Обычный 4 3" xfId="15"/>
    <cellStyle name="Обычный 5" xfId="5"/>
    <cellStyle name="Обычный 5 2" xfId="10"/>
    <cellStyle name="Обычный 5 3" xfId="16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9" t="s">
        <v>175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180</v>
      </c>
      <c r="E4" s="117">
        <v>44927</v>
      </c>
      <c r="K4" s="109"/>
      <c r="L4" s="109"/>
      <c r="M4" s="109"/>
      <c r="N4" s="109"/>
    </row>
    <row r="5" spans="1:18">
      <c r="A5" s="1" t="s">
        <v>0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6" t="s">
        <v>1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9"/>
      <c r="L8" s="180"/>
      <c r="M8" s="109"/>
      <c r="N8" s="109"/>
      <c r="O8" s="70" t="s">
        <v>81</v>
      </c>
      <c r="R8" s="16"/>
    </row>
    <row r="9" spans="1:18" ht="18.75" customHeight="1" outlineLevel="1">
      <c r="A9" s="176" t="s">
        <v>2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9"/>
      <c r="L9" s="180"/>
      <c r="M9" s="109"/>
      <c r="N9" s="109"/>
      <c r="O9" s="70" t="s">
        <v>82</v>
      </c>
    </row>
    <row r="10" spans="1:18" ht="18.75" customHeight="1" outlineLevel="1">
      <c r="A10" s="176" t="s">
        <v>3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682246.99</v>
      </c>
      <c r="K10" s="109"/>
      <c r="L10" s="180"/>
      <c r="M10" s="109"/>
      <c r="N10" s="109"/>
      <c r="O10" s="70" t="s">
        <v>83</v>
      </c>
    </row>
    <row r="11" spans="1:18" outlineLevel="1">
      <c r="A11" s="176" t="s">
        <v>4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1221777.7120000001</v>
      </c>
      <c r="K11" s="109"/>
      <c r="L11" s="180"/>
      <c r="M11" s="109"/>
      <c r="N11" s="109"/>
      <c r="O11" s="70" t="s">
        <v>84</v>
      </c>
    </row>
    <row r="12" spans="1:18" ht="18.75" customHeight="1" outlineLevel="1">
      <c r="A12" s="176" t="s">
        <v>5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931260.43</v>
      </c>
      <c r="K12" s="109"/>
      <c r="L12" s="180"/>
      <c r="M12" s="109"/>
      <c r="N12" s="109"/>
      <c r="O12" s="70" t="s">
        <v>85</v>
      </c>
    </row>
    <row r="13" spans="1:18" ht="18.75" customHeight="1" outlineLevel="1">
      <c r="A13" s="176" t="s">
        <v>6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263649.28200000001</v>
      </c>
      <c r="K13" s="109"/>
      <c r="L13" s="180"/>
      <c r="M13" s="109"/>
      <c r="N13" s="109"/>
      <c r="O13" s="70" t="s">
        <v>86</v>
      </c>
    </row>
    <row r="14" spans="1:18" ht="18.75" customHeight="1" outlineLevel="1">
      <c r="A14" s="176" t="s">
        <v>7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26868</v>
      </c>
      <c r="K14" s="109"/>
      <c r="L14" s="180"/>
      <c r="M14" s="109"/>
      <c r="N14" s="109"/>
      <c r="O14" s="70" t="s">
        <v>87</v>
      </c>
    </row>
    <row r="15" spans="1:18" ht="18.75" customHeight="1" outlineLevel="1">
      <c r="A15" s="176" t="s">
        <v>8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1292609.45</v>
      </c>
      <c r="K15" s="109"/>
      <c r="L15" s="180"/>
      <c r="M15" s="109"/>
      <c r="N15" s="109"/>
      <c r="O15" s="70" t="s">
        <v>88</v>
      </c>
    </row>
    <row r="16" spans="1:18" ht="18.75" customHeight="1" outlineLevel="1">
      <c r="A16" s="176" t="s">
        <v>9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1292609.45</v>
      </c>
      <c r="K16" s="109"/>
      <c r="L16" s="180"/>
      <c r="M16" s="109"/>
      <c r="N16" s="109"/>
      <c r="O16" s="70" t="s">
        <v>89</v>
      </c>
    </row>
    <row r="17" spans="1:23" ht="18.75" customHeight="1" outlineLevel="1">
      <c r="A17" s="176" t="s">
        <v>10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9"/>
      <c r="L17" s="180"/>
      <c r="M17" s="109"/>
      <c r="N17" s="109"/>
      <c r="O17" s="70" t="s">
        <v>90</v>
      </c>
    </row>
    <row r="18" spans="1:23" ht="18.75" customHeight="1" outlineLevel="1">
      <c r="A18" s="176" t="s">
        <v>11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9"/>
      <c r="L18" s="180"/>
      <c r="M18" s="109"/>
      <c r="N18" s="109"/>
      <c r="O18" s="70" t="s">
        <v>91</v>
      </c>
    </row>
    <row r="19" spans="1:23" ht="18.75" customHeight="1" outlineLevel="1">
      <c r="A19" s="176" t="s">
        <v>12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9"/>
      <c r="L19" s="180"/>
      <c r="M19" s="109"/>
      <c r="N19" s="109"/>
      <c r="O19" s="70" t="s">
        <v>92</v>
      </c>
    </row>
    <row r="20" spans="1:23" ht="18.75" customHeight="1" outlineLevel="1">
      <c r="A20" s="176" t="s">
        <v>13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9"/>
      <c r="L20" s="180"/>
      <c r="M20" s="109"/>
      <c r="N20" s="109"/>
      <c r="O20" s="70" t="s">
        <v>93</v>
      </c>
    </row>
    <row r="21" spans="1:23" ht="18.75" customHeight="1" outlineLevel="1">
      <c r="A21" s="176" t="s">
        <v>14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1292609.45</v>
      </c>
      <c r="K21" s="109"/>
      <c r="L21" s="180"/>
      <c r="M21" s="109"/>
      <c r="N21" s="109"/>
      <c r="O21" s="70" t="s">
        <v>94</v>
      </c>
    </row>
    <row r="22" spans="1:23" ht="18.75" customHeight="1" outlineLevel="1">
      <c r="A22" s="176" t="s">
        <v>15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9"/>
      <c r="L22" s="180"/>
      <c r="M22" s="109"/>
      <c r="N22" s="109"/>
      <c r="O22" s="70" t="s">
        <v>95</v>
      </c>
    </row>
    <row r="23" spans="1:23" ht="18.75" customHeight="1" outlineLevel="1">
      <c r="A23" s="176" t="s">
        <v>16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9"/>
      <c r="L23" s="180"/>
      <c r="M23" s="109"/>
      <c r="N23" s="109"/>
      <c r="O23" s="70" t="s">
        <v>96</v>
      </c>
    </row>
    <row r="24" spans="1:23" ht="18.75" customHeight="1" outlineLevel="1">
      <c r="A24" s="176" t="s">
        <v>17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611415.25200000009</v>
      </c>
      <c r="K24" s="109"/>
      <c r="L24" s="180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3" t="s">
        <v>18</v>
      </c>
      <c r="B27" s="163"/>
      <c r="C27" s="163"/>
      <c r="D27" s="163"/>
      <c r="E27" s="163"/>
      <c r="F27" s="163" t="s">
        <v>19</v>
      </c>
      <c r="G27" s="163"/>
      <c r="H27" s="5" t="s">
        <v>56</v>
      </c>
      <c r="I27" s="163" t="s">
        <v>20</v>
      </c>
      <c r="J27" s="163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58">
        <f>VLOOKUP(A28,ПТО!$A$39:$D$53,2,FALSE)</f>
        <v>249179.51999999999</v>
      </c>
      <c r="G28" s="158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29" s="157"/>
      <c r="C29" s="157"/>
      <c r="D29" s="157"/>
      <c r="E29" s="157"/>
      <c r="F29" s="158">
        <f>VLOOKUP(A29,ПТО!$A$39:$D$53,2,FALSE)</f>
        <v>261793.44</v>
      </c>
      <c r="G29" s="158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9"/>
      <c r="L29" s="181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29" s="1" t="s">
        <v>70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58">
        <f>VLOOKUP(A30,ПТО!$A$39:$D$53,2,FALSE)</f>
        <v>107604.36000000002</v>
      </c>
      <c r="G30" s="158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58">
        <f>VLOOKUP(A31,ПТО!$A$39:$D$53,2,FALSE)</f>
        <v>78734.880000000005</v>
      </c>
      <c r="G31" s="158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81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58">
        <f>VLOOKUP(A33,ПТО!$A$39:$D$53,2,FALSE)</f>
        <v>25588.800000000003</v>
      </c>
      <c r="G33" s="158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58">
        <f>VLOOKUP(A34,ПТО!$A$39:$D$53,2,FALSE)</f>
        <v>101699.28</v>
      </c>
      <c r="G34" s="158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7" t="str">
        <f>ПТО!A46</f>
        <v>Работы по содержанию лифта (лифтов)</v>
      </c>
      <c r="B35" s="157"/>
      <c r="C35" s="157"/>
      <c r="D35" s="157"/>
      <c r="E35" s="157"/>
      <c r="F35" s="158">
        <f>VLOOKUP(A35,ПТО!$A$39:$D$53,2,FALSE)</f>
        <v>135817.68</v>
      </c>
      <c r="G35" s="158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81"/>
      <c r="M35" s="116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7">
        <f>ПТО!A47</f>
        <v>0</v>
      </c>
      <c r="B36" s="157"/>
      <c r="C36" s="157"/>
      <c r="D36" s="157"/>
      <c r="E36" s="157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81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81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81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81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81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81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81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57" t="str">
        <f>ПТО!A2</f>
        <v>Техническое освидетельствование лифта.</v>
      </c>
      <c r="B43" s="157"/>
      <c r="C43" s="157"/>
      <c r="D43" s="157"/>
      <c r="E43" s="157"/>
      <c r="F43" s="158">
        <f>VLOOKUP(A43,ПТО!$A$2:$D$31,4,FALSE)</f>
        <v>16200</v>
      </c>
      <c r="G43" s="158"/>
      <c r="H43" s="19" t="str">
        <f>VLOOKUP(A43,ПТО!$A$2:$D$31,2,FALSE)</f>
        <v>ежегодно</v>
      </c>
      <c r="I43" s="159">
        <f>VLOOKUP(A43,ПТО!$A$2:$D$31,3,FALSE)</f>
        <v>2</v>
      </c>
      <c r="J43" s="159"/>
      <c r="K43" s="109"/>
      <c r="L43" s="181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7" t="str">
        <f>ПТО!A3</f>
        <v>Промышленная очистка кровли от снега (957 м2).</v>
      </c>
      <c r="B44" s="157"/>
      <c r="C44" s="157"/>
      <c r="D44" s="157"/>
      <c r="E44" s="157"/>
      <c r="F44" s="158">
        <f>VLOOKUP(A44,ПТО!$A$2:$D$31,4,FALSE)</f>
        <v>23925</v>
      </c>
      <c r="G44" s="158"/>
      <c r="H44" s="25" t="str">
        <f>VLOOKUP(A44,ПТО!$A$2:$D$31,2,FALSE)</f>
        <v>разово</v>
      </c>
      <c r="I44" s="159">
        <f>VLOOKUP(A44,ПТО!$A$2:$D$31,3,FALSE)</f>
        <v>1</v>
      </c>
      <c r="J44" s="159"/>
      <c r="K44" s="109"/>
      <c r="L44" s="181"/>
      <c r="M44" s="116"/>
      <c r="N44" s="109"/>
      <c r="O44" s="23" t="str">
        <f t="shared" si="1"/>
        <v>Промышленная очистка кровли от снега (957 м2).</v>
      </c>
      <c r="R44" s="22" t="s">
        <v>71</v>
      </c>
    </row>
    <row r="45" spans="1:18" ht="51" customHeight="1" outlineLevel="1">
      <c r="A45" s="157" t="str">
        <f>ПТО!A4</f>
        <v>Приобретение грязезащитного покрытия в тамбур (подъезд №1).</v>
      </c>
      <c r="B45" s="157"/>
      <c r="C45" s="157"/>
      <c r="D45" s="157"/>
      <c r="E45" s="157"/>
      <c r="F45" s="158">
        <f>VLOOKUP(A45,ПТО!$A$2:$D$31,4,FALSE)</f>
        <v>2500</v>
      </c>
      <c r="G45" s="158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81"/>
      <c r="M45" s="116"/>
      <c r="N45" s="109"/>
      <c r="O45" s="23" t="str">
        <f t="shared" si="1"/>
        <v>Приобретение грязезащитного покрытия в тамбур (подъезд №1).</v>
      </c>
      <c r="R45" s="22" t="s">
        <v>71</v>
      </c>
    </row>
    <row r="46" spans="1:18" ht="51" customHeight="1" outlineLevel="1">
      <c r="A46" s="157" t="str">
        <f>ПТО!A5</f>
        <v>Механизированная уборка и вывоз снега с придомовой территории.</v>
      </c>
      <c r="B46" s="157"/>
      <c r="C46" s="157"/>
      <c r="D46" s="157"/>
      <c r="E46" s="157"/>
      <c r="F46" s="158">
        <f>VLOOKUP(A46,ПТО!$A$2:$D$31,4,FALSE)</f>
        <v>50630</v>
      </c>
      <c r="G46" s="158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81"/>
      <c r="M46" s="116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57" t="str">
        <f>ПТО!A6</f>
        <v>Замена светильника в лифте.</v>
      </c>
      <c r="B47" s="157"/>
      <c r="C47" s="157"/>
      <c r="D47" s="157"/>
      <c r="E47" s="157"/>
      <c r="F47" s="158">
        <f>VLOOKUP(A47,ПТО!$A$2:$D$31,4,FALSE)</f>
        <v>806.85</v>
      </c>
      <c r="G47" s="158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81"/>
      <c r="M47" s="116"/>
      <c r="N47" s="109"/>
      <c r="O47" s="23" t="str">
        <f t="shared" si="1"/>
        <v>Замена светильника в лифте.</v>
      </c>
      <c r="R47" s="22" t="s">
        <v>71</v>
      </c>
    </row>
    <row r="48" spans="1:18" ht="51" customHeight="1" outlineLevel="1">
      <c r="A48" s="157" t="str">
        <f>ПТО!A7</f>
        <v>Замена шаровых кранов и муфт (Ду32 и Ду20).</v>
      </c>
      <c r="B48" s="157"/>
      <c r="C48" s="157"/>
      <c r="D48" s="157"/>
      <c r="E48" s="157"/>
      <c r="F48" s="158">
        <f>VLOOKUP(A48,ПТО!$A$2:$D$31,4,FALSE)</f>
        <v>1774.72</v>
      </c>
      <c r="G48" s="158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81"/>
      <c r="M48" s="116"/>
      <c r="N48" s="109"/>
      <c r="O48" s="23" t="str">
        <f t="shared" si="1"/>
        <v>Замена шаровых кранов и муфт (Ду32 и Ду20).</v>
      </c>
      <c r="R48" s="22" t="s">
        <v>71</v>
      </c>
    </row>
    <row r="49" spans="1:18" ht="51" customHeight="1" outlineLevel="1">
      <c r="A49" s="157" t="str">
        <f>ПТО!A8</f>
        <v>Генеральная уборка подъездов.</v>
      </c>
      <c r="B49" s="157"/>
      <c r="C49" s="157"/>
      <c r="D49" s="157"/>
      <c r="E49" s="157"/>
      <c r="F49" s="158">
        <f>VLOOKUP(A49,ПТО!$A$2:$D$31,4,FALSE)</f>
        <v>4000</v>
      </c>
      <c r="G49" s="158"/>
      <c r="H49" s="25" t="str">
        <f>VLOOKUP(A49,ПТО!$A$2:$D$31,2,FALSE)</f>
        <v>разово</v>
      </c>
      <c r="I49" s="159">
        <f>VLOOKUP(A49,ПТО!$A$2:$D$31,3,FALSE)</f>
        <v>1</v>
      </c>
      <c r="J49" s="159"/>
      <c r="K49" s="109"/>
      <c r="L49" s="181"/>
      <c r="M49" s="116"/>
      <c r="N49" s="109"/>
      <c r="O49" s="23" t="str">
        <f t="shared" si="1"/>
        <v>Генеральная уборка подъездов.</v>
      </c>
      <c r="R49" s="22" t="s">
        <v>71</v>
      </c>
    </row>
    <row r="50" spans="1:18" ht="51" customHeight="1" outlineLevel="1">
      <c r="A50" s="157" t="str">
        <f>ПТО!A9</f>
        <v>Приобретение и замена доводчика на тамбурной двери (подъезд №1).</v>
      </c>
      <c r="B50" s="157"/>
      <c r="C50" s="157"/>
      <c r="D50" s="157"/>
      <c r="E50" s="157"/>
      <c r="F50" s="158">
        <f>VLOOKUP(A50,ПТО!$A$2:$D$31,4,FALSE)</f>
        <v>2400</v>
      </c>
      <c r="G50" s="158"/>
      <c r="H50" s="25" t="str">
        <f>VLOOKUP(A50,ПТО!$A$2:$D$31,2,FALSE)</f>
        <v>разово</v>
      </c>
      <c r="I50" s="159">
        <f>VLOOKUP(A50,ПТО!$A$2:$D$31,3,FALSE)</f>
        <v>1</v>
      </c>
      <c r="J50" s="159"/>
      <c r="K50" s="109"/>
      <c r="L50" s="181"/>
      <c r="M50" s="116"/>
      <c r="N50" s="109"/>
      <c r="O50" s="23" t="str">
        <f t="shared" si="1"/>
        <v>Приобретение и замена доводчика на тамбурной двери (подъезд №1).</v>
      </c>
      <c r="R50" s="22" t="s">
        <v>71</v>
      </c>
    </row>
    <row r="51" spans="1:18" ht="51" customHeight="1" outlineLevel="1">
      <c r="A51" s="157" t="str">
        <f>ПТО!A10</f>
        <v>Замена АКБ регистратора системы видеонаблюдения.</v>
      </c>
      <c r="B51" s="157"/>
      <c r="C51" s="157"/>
      <c r="D51" s="157"/>
      <c r="E51" s="157"/>
      <c r="F51" s="158">
        <f>VLOOKUP(A51,ПТО!$A$2:$D$31,4,FALSE)</f>
        <v>2000</v>
      </c>
      <c r="G51" s="158"/>
      <c r="H51" s="25" t="str">
        <f>VLOOKUP(A51,ПТО!$A$2:$D$31,2,FALSE)</f>
        <v>разово</v>
      </c>
      <c r="I51" s="159">
        <f>VLOOKUP(A51,ПТО!$A$2:$D$31,3,FALSE)</f>
        <v>1</v>
      </c>
      <c r="J51" s="159"/>
      <c r="K51" s="109"/>
      <c r="L51" s="181"/>
      <c r="M51" s="116"/>
      <c r="N51" s="109"/>
      <c r="O51" s="23" t="str">
        <f t="shared" si="1"/>
        <v>Замена АКБ регистратора системы видеонаблюдения.</v>
      </c>
      <c r="R51" s="22" t="s">
        <v>71</v>
      </c>
    </row>
    <row r="52" spans="1:18" ht="51" hidden="1" customHeight="1" outlineLevel="1">
      <c r="A52" s="157">
        <f>ПТО!A11</f>
        <v>0</v>
      </c>
      <c r="B52" s="157"/>
      <c r="C52" s="157"/>
      <c r="D52" s="157"/>
      <c r="E52" s="157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9"/>
      <c r="L52" s="181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9"/>
      <c r="L53" s="181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9"/>
      <c r="L54" s="181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9"/>
      <c r="L55" s="181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81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81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81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81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81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81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81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81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81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81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81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81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81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81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81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6"/>
      <c r="L71" s="181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81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5" t="s">
        <v>26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64"/>
      <c r="M75" s="109"/>
      <c r="N75" s="109"/>
      <c r="O75" s="70" t="s">
        <v>98</v>
      </c>
    </row>
    <row r="76" spans="1:16384" ht="18.75" customHeight="1" outlineLevel="1">
      <c r="A76" s="175" t="s">
        <v>27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64"/>
      <c r="M76" s="109"/>
      <c r="N76" s="109"/>
      <c r="O76" s="70" t="s">
        <v>99</v>
      </c>
    </row>
    <row r="77" spans="1:16384" ht="21.75" customHeight="1" outlineLevel="1">
      <c r="A77" s="175" t="s">
        <v>28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64"/>
      <c r="M77" s="109"/>
      <c r="N77" s="109"/>
      <c r="O77" s="70" t="s">
        <v>100</v>
      </c>
    </row>
    <row r="78" spans="1:16384" ht="18.75" customHeight="1" outlineLevel="1">
      <c r="A78" s="175" t="s">
        <v>29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64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5" t="s">
        <v>1</v>
      </c>
      <c r="B81" s="165"/>
      <c r="C81" s="165"/>
      <c r="D81" s="165"/>
      <c r="E81" s="165"/>
      <c r="F81" s="165"/>
      <c r="G81" s="165"/>
      <c r="H81" s="165"/>
      <c r="I81" s="165"/>
      <c r="J81" s="97">
        <f t="shared" ref="J81:J90" si="2">VLOOKUP(O81,АО,3,FALSE)</f>
        <v>0</v>
      </c>
      <c r="K81" s="109"/>
      <c r="L81" s="182"/>
      <c r="M81" s="109"/>
      <c r="N81" s="109"/>
      <c r="O81" s="70" t="s">
        <v>102</v>
      </c>
    </row>
    <row r="82" spans="1:15" outlineLevel="1">
      <c r="A82" s="165" t="s">
        <v>2</v>
      </c>
      <c r="B82" s="165"/>
      <c r="C82" s="165"/>
      <c r="D82" s="165"/>
      <c r="E82" s="165"/>
      <c r="F82" s="165"/>
      <c r="G82" s="165"/>
      <c r="H82" s="165"/>
      <c r="I82" s="165"/>
      <c r="J82" s="97">
        <f t="shared" si="2"/>
        <v>0</v>
      </c>
      <c r="K82" s="109"/>
      <c r="L82" s="182"/>
      <c r="M82" s="109"/>
      <c r="N82" s="109"/>
      <c r="O82" s="70" t="s">
        <v>103</v>
      </c>
    </row>
    <row r="83" spans="1:15" outlineLevel="1">
      <c r="A83" s="172" t="s">
        <v>3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166026.20000000001</v>
      </c>
      <c r="K83" s="109"/>
      <c r="L83" s="182"/>
      <c r="M83" s="109"/>
      <c r="N83" s="109"/>
      <c r="O83" s="70" t="s">
        <v>104</v>
      </c>
    </row>
    <row r="84" spans="1:15" outlineLevel="1">
      <c r="A84" s="172" t="s">
        <v>15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82"/>
      <c r="M84" s="109"/>
      <c r="N84" s="109"/>
      <c r="O84" s="70" t="s">
        <v>105</v>
      </c>
    </row>
    <row r="85" spans="1:15" outlineLevel="1">
      <c r="A85" s="172" t="s">
        <v>16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82"/>
      <c r="M85" s="109"/>
      <c r="N85" s="109"/>
      <c r="O85" s="70" t="s">
        <v>106</v>
      </c>
    </row>
    <row r="86" spans="1:15" outlineLevel="1">
      <c r="A86" s="172" t="s">
        <v>17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136642.12</v>
      </c>
      <c r="K86" s="109"/>
      <c r="L86" s="182"/>
      <c r="M86" s="109"/>
      <c r="N86" s="109"/>
      <c r="O86" s="70" t="s">
        <v>107</v>
      </c>
    </row>
    <row r="87" spans="1:15" ht="18.75" customHeight="1" outlineLevel="1">
      <c r="A87" s="172" t="s">
        <v>26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9"/>
      <c r="L87" s="182"/>
      <c r="M87" s="109"/>
      <c r="N87" s="109"/>
      <c r="O87" s="70" t="s">
        <v>108</v>
      </c>
    </row>
    <row r="88" spans="1:15" ht="18.75" customHeight="1" outlineLevel="1">
      <c r="A88" s="172" t="s">
        <v>27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9"/>
      <c r="L88" s="182"/>
      <c r="M88" s="109"/>
      <c r="N88" s="109"/>
      <c r="O88" s="70" t="s">
        <v>109</v>
      </c>
    </row>
    <row r="89" spans="1:15" ht="18.75" customHeight="1" outlineLevel="1">
      <c r="A89" s="172" t="s">
        <v>28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9"/>
      <c r="L89" s="182"/>
      <c r="M89" s="109"/>
      <c r="N89" s="109"/>
      <c r="O89" s="70" t="s">
        <v>110</v>
      </c>
    </row>
    <row r="90" spans="1:15" ht="18.75" customHeight="1" outlineLevel="1">
      <c r="A90" s="172" t="s">
        <v>29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8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6" t="s">
        <v>47</v>
      </c>
      <c r="B93" s="166"/>
      <c r="C93" s="166"/>
      <c r="D93" s="169" t="s">
        <v>48</v>
      </c>
      <c r="E93" s="169"/>
      <c r="F93" s="10" t="s">
        <v>49</v>
      </c>
      <c r="G93" s="166" t="s">
        <v>50</v>
      </c>
      <c r="H93" s="166"/>
      <c r="I93" s="166"/>
      <c r="J93" s="166"/>
      <c r="K93" s="109"/>
      <c r="L93" s="109"/>
      <c r="M93" s="109"/>
      <c r="N93" s="109"/>
    </row>
    <row r="94" spans="1:15" hidden="1" outlineLevel="1">
      <c r="A94" s="170">
        <f>IF(VLOOKUP("эл",АО,3,FALSE)&gt;0,"Электроснабжение",0)</f>
        <v>0</v>
      </c>
      <c r="B94" s="170"/>
      <c r="C94" s="170"/>
      <c r="D94" s="168">
        <f>IF(VLOOKUP("эл",АО,3,FALSE)&gt;0,VLOOKUP("эл",АО,3,FALSE),0)</f>
        <v>0</v>
      </c>
      <c r="E94" s="168"/>
      <c r="F94" s="13">
        <f>IF(VLOOKUP("эл",АО,3,FALSE)&gt;0,VLOOKUP("эл",АО,4,FALSE),0)</f>
        <v>0</v>
      </c>
      <c r="G94" s="167">
        <f>VLOOKUP("эл",АО,5,FALSE)</f>
        <v>0</v>
      </c>
      <c r="H94" s="168"/>
      <c r="I94" s="168"/>
      <c r="J94" s="168"/>
      <c r="K94" s="1" t="str">
        <f>VLOOKUP("эл",АО,2,FALSE)</f>
        <v>Электроснабжение</v>
      </c>
      <c r="L94" s="183"/>
    </row>
    <row r="95" spans="1:15" hidden="1" outlineLevel="2">
      <c r="A95" s="171">
        <f>IF(VLOOKUP("эл",АО,3,FALSE)&gt;0,VLOOKUP("эл1",АО,2,FALSE),0)</f>
        <v>0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0</v>
      </c>
      <c r="L95" s="183"/>
      <c r="O95" s="1" t="s">
        <v>112</v>
      </c>
    </row>
    <row r="96" spans="1:15" hidden="1" outlineLevel="2">
      <c r="A96" s="171">
        <f>IF(VLOOKUP("эл",АО,3,FALSE)&gt;0,VLOOKUP("эл2",АО,2,FALSE),0)</f>
        <v>0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0</v>
      </c>
      <c r="L96" s="183"/>
      <c r="O96" s="1" t="s">
        <v>113</v>
      </c>
    </row>
    <row r="97" spans="1:15" hidden="1" outlineLevel="2">
      <c r="A97" s="171">
        <f>IF(VLOOKUP("эл",АО,3,FALSE)&gt;0,VLOOKUP("эл3",АО,2,FALSE),0)</f>
        <v>0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83"/>
      <c r="O97" s="1" t="s">
        <v>114</v>
      </c>
    </row>
    <row r="98" spans="1:15" ht="37.5" hidden="1" customHeight="1" outlineLevel="2">
      <c r="A98" s="171">
        <f>IF(VLOOKUP("эл",АО,3,FALSE)&gt;0,VLOOKUP("эл4",АО,2,FALSE),0)</f>
        <v>0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0</v>
      </c>
      <c r="L98" s="183"/>
      <c r="O98" s="1" t="s">
        <v>115</v>
      </c>
    </row>
    <row r="99" spans="1:15" hidden="1" outlineLevel="2">
      <c r="A99" s="171">
        <f>IF(VLOOKUP("эл",АО,3,FALSE)&gt;0,VLOOKUP("эл5",АО,2,FALSE),0)</f>
        <v>0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0</v>
      </c>
      <c r="L99" s="183"/>
      <c r="O99" s="1" t="s">
        <v>116</v>
      </c>
    </row>
    <row r="100" spans="1:15" ht="39" hidden="1" customHeight="1" outlineLevel="2">
      <c r="A100" s="171">
        <f>IF(VLOOKUP("эл",АО,3,FALSE)&gt;0,VLOOKUP("эл6",АО,2,FALSE),0)</f>
        <v>0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83"/>
      <c r="O100" s="1" t="s">
        <v>117</v>
      </c>
    </row>
    <row r="101" spans="1:15" ht="34.5" hidden="1" customHeight="1" outlineLevel="2">
      <c r="A101" s="171">
        <f>IF(VLOOKUP("эл",АО,3,FALSE)&gt;0,VLOOKUP("эл7",АО,2,FALSE),0)</f>
        <v>0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83"/>
      <c r="O101" s="1" t="s">
        <v>118</v>
      </c>
    </row>
    <row r="102" spans="1:15" ht="28.5" customHeight="1" outlineLevel="1">
      <c r="A102" s="170" t="str">
        <f>IF(VLOOKUP("хвс",АО,3,FALSE)&gt;0,"Холодное водоснабжение",0)</f>
        <v>Холодное водоснабжение</v>
      </c>
      <c r="B102" s="170"/>
      <c r="C102" s="170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7">
        <f>VLOOKUP("хвс",АО,5,FALSE)</f>
        <v>244431.66</v>
      </c>
      <c r="H102" s="168"/>
      <c r="I102" s="168"/>
      <c r="J102" s="168"/>
      <c r="L102" s="183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16776.37</v>
      </c>
      <c r="L103" s="183"/>
      <c r="O103" s="1" t="s">
        <v>121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255168.94</v>
      </c>
      <c r="L104" s="183"/>
      <c r="O104" s="1" t="s">
        <v>122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83"/>
      <c r="O105" s="1" t="s">
        <v>123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244431.66</v>
      </c>
      <c r="L106" s="183"/>
      <c r="O106" s="1" t="s">
        <v>124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244431.66</v>
      </c>
      <c r="L107" s="183"/>
      <c r="O107" s="1" t="s">
        <v>125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83"/>
      <c r="O108" s="1" t="s">
        <v>126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83"/>
      <c r="O109" s="1" t="s">
        <v>127</v>
      </c>
    </row>
    <row r="110" spans="1:15" ht="27" customHeight="1" outlineLevel="1">
      <c r="A110" s="170" t="str">
        <f>IF(VLOOKUP("воо",АО,3,FALSE)&gt;0,"Водоотведение",0)</f>
        <v>Водоотведение</v>
      </c>
      <c r="B110" s="170"/>
      <c r="C110" s="170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7">
        <f>VLOOKUP("воо",АО,5,FALSE)</f>
        <v>294354.21000000002</v>
      </c>
      <c r="H110" s="168"/>
      <c r="I110" s="168"/>
      <c r="J110" s="168"/>
      <c r="L110" s="183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16620.79</v>
      </c>
      <c r="L111" s="183"/>
      <c r="O111" s="1" t="s">
        <v>129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304400.53000000003</v>
      </c>
      <c r="L112" s="183"/>
      <c r="O112" s="1" t="s">
        <v>130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83"/>
      <c r="O113" s="1" t="s">
        <v>131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294354.21000000002</v>
      </c>
      <c r="L114" s="183"/>
      <c r="O114" s="1" t="s">
        <v>132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294354.21000000002</v>
      </c>
      <c r="L115" s="183"/>
      <c r="O115" s="1" t="s">
        <v>133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83"/>
      <c r="O116" s="1" t="s">
        <v>134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83"/>
      <c r="O117" s="1" t="s">
        <v>135</v>
      </c>
    </row>
    <row r="118" spans="1:15" ht="32.25" customHeight="1" outlineLevel="1">
      <c r="A118" s="170" t="str">
        <f>IF(VLOOKUP("тко",АО,3,FALSE)&gt;0,"Обращение с ТКО",0)</f>
        <v>Обращение с ТКО</v>
      </c>
      <c r="B118" s="170"/>
      <c r="C118" s="170"/>
      <c r="D118" s="168" t="str">
        <f>IF(VLOOKUP("тко",АО,3,FALSE)&gt;0,VLOOKUP("тко",АО,3,FALSE),0)</f>
        <v>Предоставляется</v>
      </c>
      <c r="E118" s="168"/>
      <c r="F118" s="13" t="str">
        <f>IF(VLOOKUP("тко",АО,3,FALSE)&gt;0,VLOOKUP("тко",АО,4,FALSE),0)</f>
        <v>куб.м.</v>
      </c>
      <c r="G118" s="167">
        <f>VLOOKUP("тко",АО,5,FALSE)</f>
        <v>238848.67</v>
      </c>
      <c r="H118" s="168"/>
      <c r="I118" s="168"/>
      <c r="J118" s="168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441.98</v>
      </c>
      <c r="L119" s="47"/>
      <c r="O119" s="1" t="s">
        <v>137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247449.15</v>
      </c>
      <c r="L120" s="47"/>
      <c r="O120" s="1" t="s">
        <v>138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0</v>
      </c>
      <c r="L121" s="47"/>
      <c r="O121" s="1" t="s">
        <v>139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238848.67</v>
      </c>
      <c r="L122" s="47"/>
      <c r="O122" s="1" t="s">
        <v>140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238848.67</v>
      </c>
      <c r="L123" s="47"/>
      <c r="O123" s="1" t="s">
        <v>141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0">
        <f>IF(VLOOKUP("гвс",АО,3,FALSE)&gt;0,"Горячее водоснабжение",0)</f>
        <v>0</v>
      </c>
      <c r="B126" s="170"/>
      <c r="C126" s="170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7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0">
        <f>IF(VLOOKUP("отопление",АО,3,FALSE)&gt;0,"Отопление",0)</f>
        <v>0</v>
      </c>
      <c r="B134" s="170"/>
      <c r="C134" s="170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5" t="s">
        <v>44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169</v>
      </c>
    </row>
    <row r="145" spans="1:15" ht="18.75" customHeight="1" outlineLevel="1">
      <c r="A145" s="165" t="s">
        <v>45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65" t="s">
        <v>172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31789.34</v>
      </c>
      <c r="O146" t="s">
        <v>171</v>
      </c>
    </row>
    <row r="149" spans="1:15" ht="52.5" customHeight="1">
      <c r="A149" s="161" t="s">
        <v>176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180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60" t="s">
        <v>188</v>
      </c>
      <c r="B154" s="160"/>
      <c r="C154" s="160"/>
      <c r="D154" s="160"/>
      <c r="E154" s="27">
        <f>ПТО!G1</f>
        <v>174140.54</v>
      </c>
    </row>
    <row r="155" spans="1:15" ht="34.5" customHeight="1">
      <c r="A155" s="162" t="s">
        <v>187</v>
      </c>
      <c r="B155" s="162"/>
      <c r="C155" s="162"/>
      <c r="D155" s="162"/>
      <c r="E155" s="28">
        <f>J13</f>
        <v>263649.28200000001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18</v>
      </c>
      <c r="B157" s="163"/>
      <c r="C157" s="163"/>
      <c r="D157" s="163"/>
      <c r="E157" s="163"/>
      <c r="F157" s="163" t="s">
        <v>19</v>
      </c>
      <c r="G157" s="163"/>
      <c r="H157" s="20" t="s">
        <v>56</v>
      </c>
      <c r="I157" s="163" t="s">
        <v>20</v>
      </c>
      <c r="J157" s="163"/>
    </row>
    <row r="158" spans="1:15" ht="29.25" customHeight="1">
      <c r="A158" s="157" t="str">
        <f t="shared" ref="A158:A163" si="14">IF(N158&gt;0,N158,0)</f>
        <v>Техническое освидетельствование лифта.</v>
      </c>
      <c r="B158" s="157"/>
      <c r="C158" s="157"/>
      <c r="D158" s="157"/>
      <c r="E158" s="157"/>
      <c r="F158" s="158">
        <f t="shared" ref="F158:F163" si="15">IF(ISERROR(VLOOKUP(A158,$A$28:$J$72,6,FALSE)),0,VLOOKUP(A158,$A$28:$J$72,6,FALSE))</f>
        <v>16200</v>
      </c>
      <c r="G158" s="158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2</v>
      </c>
      <c r="J158" s="15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7" t="str">
        <f t="shared" si="14"/>
        <v>Промышленная очистка кровли от снега (957 м2).</v>
      </c>
      <c r="B159" s="157"/>
      <c r="C159" s="157"/>
      <c r="D159" s="157"/>
      <c r="E159" s="157"/>
      <c r="F159" s="158">
        <f t="shared" si="15"/>
        <v>23925</v>
      </c>
      <c r="G159" s="158"/>
      <c r="H159" s="24" t="str">
        <f t="shared" si="16"/>
        <v>разово</v>
      </c>
      <c r="I159" s="159">
        <f t="shared" si="17"/>
        <v>1</v>
      </c>
      <c r="J159" s="159"/>
      <c r="M159" s="22" t="s">
        <v>71</v>
      </c>
      <c r="N159" s="1" t="str">
        <v>Промышленная очистка кровли от снега (957 м2).</v>
      </c>
    </row>
    <row r="160" spans="1:15" ht="28.5" customHeight="1">
      <c r="A160" s="157" t="str">
        <f t="shared" si="14"/>
        <v>Приобретение грязезащитного покрытия в тамбур (подъезд №1).</v>
      </c>
      <c r="B160" s="157"/>
      <c r="C160" s="157"/>
      <c r="D160" s="157"/>
      <c r="E160" s="157"/>
      <c r="F160" s="158">
        <f t="shared" si="15"/>
        <v>2500</v>
      </c>
      <c r="G160" s="158"/>
      <c r="H160" s="24" t="str">
        <f t="shared" si="16"/>
        <v>разово</v>
      </c>
      <c r="I160" s="159">
        <f t="shared" si="17"/>
        <v>1</v>
      </c>
      <c r="J160" s="159"/>
      <c r="M160" s="22" t="s">
        <v>71</v>
      </c>
      <c r="N160" s="1" t="str">
        <v>Приобретение грязезащитного покрытия в тамбур (подъезд №1).</v>
      </c>
    </row>
    <row r="161" spans="1:14" ht="28.5" customHeight="1">
      <c r="A161" s="157" t="str">
        <f>IF(N161&gt;0,N161,0)</f>
        <v>Механизированная уборка и вывоз снега с придомовой территории.</v>
      </c>
      <c r="B161" s="157"/>
      <c r="C161" s="157"/>
      <c r="D161" s="157"/>
      <c r="E161" s="157"/>
      <c r="F161" s="158">
        <f t="shared" si="15"/>
        <v>50630</v>
      </c>
      <c r="G161" s="158"/>
      <c r="H161" s="24" t="str">
        <f t="shared" si="16"/>
        <v>разово</v>
      </c>
      <c r="I161" s="159">
        <f t="shared" si="17"/>
        <v>1</v>
      </c>
      <c r="J161" s="159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7" t="str">
        <f t="shared" si="14"/>
        <v>Замена светильника в лифте.</v>
      </c>
      <c r="B162" s="157"/>
      <c r="C162" s="157"/>
      <c r="D162" s="157"/>
      <c r="E162" s="157"/>
      <c r="F162" s="158">
        <f t="shared" si="15"/>
        <v>806.85</v>
      </c>
      <c r="G162" s="158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71</v>
      </c>
      <c r="N162" s="1" t="str">
        <v>Замена светильника в лифте.</v>
      </c>
    </row>
    <row r="163" spans="1:14" ht="28.5" customHeight="1">
      <c r="A163" s="157" t="str">
        <f t="shared" si="14"/>
        <v>Замена шаровых кранов и муфт (Ду32 и Ду20).</v>
      </c>
      <c r="B163" s="157"/>
      <c r="C163" s="157"/>
      <c r="D163" s="157"/>
      <c r="E163" s="157"/>
      <c r="F163" s="158">
        <f t="shared" si="15"/>
        <v>1774.72</v>
      </c>
      <c r="G163" s="158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71</v>
      </c>
      <c r="N163" s="1" t="str">
        <v>Замена шаровых кранов и муфт (Ду32 и Ду20).</v>
      </c>
    </row>
    <row r="164" spans="1:14" ht="28.5" customHeight="1">
      <c r="A164" s="157" t="str">
        <f t="shared" ref="A164:A187" si="18">IF(N164&gt;0,N164,0)</f>
        <v>Генеральная уборка подъездов.</v>
      </c>
      <c r="B164" s="157"/>
      <c r="C164" s="157"/>
      <c r="D164" s="157"/>
      <c r="E164" s="157"/>
      <c r="F164" s="158">
        <f t="shared" ref="F164:F187" si="19">IF(ISERROR(VLOOKUP(A164,$A$28:$J$72,6,FALSE)),0,VLOOKUP(A164,$A$28:$J$72,6,FALSE))</f>
        <v>4000</v>
      </c>
      <c r="G164" s="158"/>
      <c r="H164" s="29" t="str">
        <f t="shared" si="16"/>
        <v>разово</v>
      </c>
      <c r="I164" s="159">
        <f t="shared" ref="I164:I187" si="20">VLOOKUP(A164,$A$28:$J$72,9,FALSE)</f>
        <v>1</v>
      </c>
      <c r="J164" s="159"/>
      <c r="M164" s="22" t="s">
        <v>71</v>
      </c>
      <c r="N164" s="1" t="str">
        <v>Генеральная уборка подъездов.</v>
      </c>
    </row>
    <row r="165" spans="1:14" ht="28.5" customHeight="1">
      <c r="A165" s="157" t="str">
        <f t="shared" si="18"/>
        <v>Приобретение и замена доводчика на тамбурной двери (подъезд №1).</v>
      </c>
      <c r="B165" s="157"/>
      <c r="C165" s="157"/>
      <c r="D165" s="157"/>
      <c r="E165" s="157"/>
      <c r="F165" s="158">
        <f t="shared" si="19"/>
        <v>2400</v>
      </c>
      <c r="G165" s="158"/>
      <c r="H165" s="29" t="str">
        <f t="shared" si="16"/>
        <v>разово</v>
      </c>
      <c r="I165" s="159">
        <f t="shared" si="20"/>
        <v>1</v>
      </c>
      <c r="J165" s="159"/>
      <c r="M165" s="22" t="s">
        <v>71</v>
      </c>
      <c r="N165" s="1" t="str">
        <v>Приобретение и замена доводчика на тамбурной двери (подъезд №1).</v>
      </c>
    </row>
    <row r="166" spans="1:14" ht="28.5" customHeight="1">
      <c r="A166" s="157" t="str">
        <f t="shared" si="18"/>
        <v>Замена АКБ регистратора системы видеонаблюдения.</v>
      </c>
      <c r="B166" s="157"/>
      <c r="C166" s="157"/>
      <c r="D166" s="157"/>
      <c r="E166" s="157"/>
      <c r="F166" s="158">
        <f t="shared" si="19"/>
        <v>2000</v>
      </c>
      <c r="G166" s="158"/>
      <c r="H166" s="29" t="str">
        <f t="shared" si="16"/>
        <v>разово</v>
      </c>
      <c r="I166" s="159">
        <f t="shared" si="20"/>
        <v>1</v>
      </c>
      <c r="J166" s="159"/>
      <c r="M166" s="22" t="s">
        <v>71</v>
      </c>
      <c r="N166" s="1" t="str">
        <v>Замена АКБ регистратора системы видеонаблюдения.</v>
      </c>
    </row>
    <row r="167" spans="1:14" ht="28.5" hidden="1" customHeight="1">
      <c r="A167" s="157">
        <f t="shared" si="18"/>
        <v>0</v>
      </c>
      <c r="B167" s="157"/>
      <c r="C167" s="157"/>
      <c r="D167" s="157"/>
      <c r="E167" s="157"/>
      <c r="F167" s="158">
        <f t="shared" si="19"/>
        <v>0</v>
      </c>
      <c r="G167" s="158"/>
      <c r="H167" s="29" t="e">
        <f t="shared" si="16"/>
        <v>#N/A</v>
      </c>
      <c r="I167" s="159" t="e">
        <f t="shared" si="20"/>
        <v>#N/A</v>
      </c>
      <c r="J167" s="159"/>
      <c r="M167" s="22" t="s">
        <v>71</v>
      </c>
      <c r="N167" s="1">
        <v>0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58">
        <f t="shared" si="19"/>
        <v>0</v>
      </c>
      <c r="G168" s="158"/>
      <c r="H168" s="29" t="e">
        <f t="shared" si="16"/>
        <v>#N/A</v>
      </c>
      <c r="I168" s="159" t="e">
        <f t="shared" si="20"/>
        <v>#N/A</v>
      </c>
      <c r="J168" s="159"/>
      <c r="M168" s="22" t="s">
        <v>71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58">
        <f t="shared" si="19"/>
        <v>0</v>
      </c>
      <c r="G169" s="158"/>
      <c r="H169" s="29" t="e">
        <f t="shared" si="16"/>
        <v>#N/A</v>
      </c>
      <c r="I169" s="159" t="e">
        <f t="shared" si="20"/>
        <v>#N/A</v>
      </c>
      <c r="J169" s="159"/>
      <c r="M169" s="22" t="s">
        <v>71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58">
        <f t="shared" si="19"/>
        <v>0</v>
      </c>
      <c r="G170" s="158"/>
      <c r="H170" s="29" t="e">
        <f t="shared" si="16"/>
        <v>#N/A</v>
      </c>
      <c r="I170" s="159" t="e">
        <f t="shared" si="20"/>
        <v>#N/A</v>
      </c>
      <c r="J170" s="159"/>
      <c r="M170" s="22" t="s">
        <v>71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58">
        <f t="shared" si="19"/>
        <v>0</v>
      </c>
      <c r="G171" s="158"/>
      <c r="H171" s="29" t="e">
        <f t="shared" si="16"/>
        <v>#N/A</v>
      </c>
      <c r="I171" s="159" t="e">
        <f t="shared" si="20"/>
        <v>#N/A</v>
      </c>
      <c r="J171" s="159"/>
      <c r="M171" s="22" t="s">
        <v>71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58">
        <f t="shared" si="19"/>
        <v>0</v>
      </c>
      <c r="G172" s="158"/>
      <c r="H172" s="29" t="e">
        <f t="shared" si="16"/>
        <v>#N/A</v>
      </c>
      <c r="I172" s="159" t="e">
        <f t="shared" si="20"/>
        <v>#N/A</v>
      </c>
      <c r="J172" s="159"/>
      <c r="M172" s="22" t="s">
        <v>71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58">
        <f t="shared" si="19"/>
        <v>0</v>
      </c>
      <c r="G173" s="158"/>
      <c r="H173" s="29" t="e">
        <f t="shared" si="16"/>
        <v>#N/A</v>
      </c>
      <c r="I173" s="159" t="e">
        <f t="shared" si="20"/>
        <v>#N/A</v>
      </c>
      <c r="J173" s="159"/>
      <c r="M173" s="22" t="s">
        <v>71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58">
        <f t="shared" si="19"/>
        <v>0</v>
      </c>
      <c r="G174" s="158"/>
      <c r="H174" s="29" t="e">
        <f t="shared" si="16"/>
        <v>#N/A</v>
      </c>
      <c r="I174" s="159" t="e">
        <f t="shared" si="20"/>
        <v>#N/A</v>
      </c>
      <c r="J174" s="159"/>
      <c r="M174" s="22" t="s">
        <v>71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58">
        <f t="shared" si="19"/>
        <v>0</v>
      </c>
      <c r="G175" s="158"/>
      <c r="H175" s="29" t="e">
        <f t="shared" si="16"/>
        <v>#N/A</v>
      </c>
      <c r="I175" s="159" t="e">
        <f t="shared" si="20"/>
        <v>#N/A</v>
      </c>
      <c r="J175" s="159"/>
      <c r="M175" s="22" t="s">
        <v>71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58">
        <f t="shared" si="19"/>
        <v>0</v>
      </c>
      <c r="G176" s="158"/>
      <c r="H176" s="29" t="e">
        <f t="shared" si="16"/>
        <v>#N/A</v>
      </c>
      <c r="I176" s="159" t="e">
        <f t="shared" si="20"/>
        <v>#N/A</v>
      </c>
      <c r="J176" s="159"/>
      <c r="M176" s="22" t="s">
        <v>71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58">
        <f t="shared" si="19"/>
        <v>0</v>
      </c>
      <c r="G177" s="158"/>
      <c r="H177" s="29" t="e">
        <f t="shared" si="16"/>
        <v>#N/A</v>
      </c>
      <c r="I177" s="159" t="e">
        <f t="shared" si="20"/>
        <v>#N/A</v>
      </c>
      <c r="J177" s="159"/>
      <c r="M177" s="22" t="s">
        <v>71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58">
        <f t="shared" si="19"/>
        <v>0</v>
      </c>
      <c r="G178" s="158"/>
      <c r="H178" s="29" t="e">
        <f t="shared" si="16"/>
        <v>#N/A</v>
      </c>
      <c r="I178" s="159" t="e">
        <f t="shared" si="20"/>
        <v>#N/A</v>
      </c>
      <c r="J178" s="159"/>
      <c r="M178" s="22" t="s">
        <v>71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58">
        <f t="shared" si="19"/>
        <v>0</v>
      </c>
      <c r="G179" s="158"/>
      <c r="H179" s="29" t="e">
        <f t="shared" si="16"/>
        <v>#N/A</v>
      </c>
      <c r="I179" s="159" t="e">
        <f t="shared" si="20"/>
        <v>#N/A</v>
      </c>
      <c r="J179" s="159"/>
      <c r="M179" s="22" t="s">
        <v>71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58">
        <f t="shared" si="19"/>
        <v>0</v>
      </c>
      <c r="G180" s="158"/>
      <c r="H180" s="29" t="e">
        <f t="shared" si="16"/>
        <v>#N/A</v>
      </c>
      <c r="I180" s="159" t="e">
        <f t="shared" si="20"/>
        <v>#N/A</v>
      </c>
      <c r="J180" s="159"/>
      <c r="M180" s="22" t="s">
        <v>71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58">
        <f t="shared" si="19"/>
        <v>0</v>
      </c>
      <c r="G181" s="158"/>
      <c r="H181" s="29" t="e">
        <f t="shared" si="16"/>
        <v>#N/A</v>
      </c>
      <c r="I181" s="159" t="e">
        <f t="shared" si="20"/>
        <v>#N/A</v>
      </c>
      <c r="J181" s="159"/>
      <c r="M181" s="22" t="s">
        <v>71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58">
        <f t="shared" si="19"/>
        <v>0</v>
      </c>
      <c r="G182" s="158"/>
      <c r="H182" s="29" t="e">
        <f t="shared" si="16"/>
        <v>#N/A</v>
      </c>
      <c r="I182" s="159" t="e">
        <f t="shared" si="20"/>
        <v>#N/A</v>
      </c>
      <c r="J182" s="159"/>
      <c r="M182" s="22" t="s">
        <v>71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58">
        <f t="shared" si="19"/>
        <v>0</v>
      </c>
      <c r="G183" s="158"/>
      <c r="H183" s="29" t="e">
        <f t="shared" si="16"/>
        <v>#N/A</v>
      </c>
      <c r="I183" s="159" t="e">
        <f t="shared" si="20"/>
        <v>#N/A</v>
      </c>
      <c r="J183" s="159"/>
      <c r="M183" s="22" t="s">
        <v>71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58">
        <f t="shared" si="19"/>
        <v>0</v>
      </c>
      <c r="G184" s="158"/>
      <c r="H184" s="29" t="e">
        <f t="shared" si="16"/>
        <v>#N/A</v>
      </c>
      <c r="I184" s="159" t="e">
        <f t="shared" si="20"/>
        <v>#N/A</v>
      </c>
      <c r="J184" s="159"/>
      <c r="M184" s="22" t="s">
        <v>71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58">
        <f t="shared" si="19"/>
        <v>0</v>
      </c>
      <c r="G185" s="158"/>
      <c r="H185" s="29" t="e">
        <f t="shared" si="16"/>
        <v>#N/A</v>
      </c>
      <c r="I185" s="159" t="e">
        <f t="shared" si="20"/>
        <v>#N/A</v>
      </c>
      <c r="J185" s="159"/>
      <c r="M185" s="22" t="s">
        <v>71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58">
        <f t="shared" si="19"/>
        <v>0</v>
      </c>
      <c r="G186" s="158"/>
      <c r="H186" s="29" t="e">
        <f t="shared" si="16"/>
        <v>#N/A</v>
      </c>
      <c r="I186" s="159" t="e">
        <f t="shared" si="20"/>
        <v>#N/A</v>
      </c>
      <c r="J186" s="159"/>
      <c r="M186" s="22" t="s">
        <v>71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58">
        <f t="shared" si="19"/>
        <v>0</v>
      </c>
      <c r="G187" s="158"/>
      <c r="H187" s="29" t="e">
        <f t="shared" si="16"/>
        <v>#N/A</v>
      </c>
      <c r="I187" s="159" t="e">
        <f t="shared" si="20"/>
        <v>#N/A</v>
      </c>
      <c r="J187" s="159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0" t="s">
        <v>186</v>
      </c>
      <c r="B190" s="160"/>
      <c r="C190" s="160"/>
      <c r="D190" s="160"/>
      <c r="E190" s="27">
        <f>SUM(F158:G187)</f>
        <v>104236.57</v>
      </c>
    </row>
    <row r="191" spans="1:14" ht="51.75" customHeight="1">
      <c r="A191" s="160" t="s">
        <v>185</v>
      </c>
      <c r="B191" s="160"/>
      <c r="C191" s="160"/>
      <c r="D191" s="160"/>
      <c r="E191" s="27">
        <f>E190+E154-E155</f>
        <v>14727.82799999998</v>
      </c>
    </row>
    <row r="192" spans="1:14">
      <c r="A192" s="104" t="s">
        <v>173</v>
      </c>
    </row>
    <row r="193" spans="1:10" ht="62.25" customHeight="1">
      <c r="A193" s="185" t="s">
        <v>184</v>
      </c>
      <c r="B193" s="185"/>
      <c r="C193" s="185"/>
      <c r="D193" s="185"/>
      <c r="E193" s="185"/>
      <c r="F193" s="185"/>
      <c r="G193" s="185"/>
      <c r="H193" s="185"/>
      <c r="I193" s="185"/>
      <c r="J193" s="185"/>
    </row>
    <row r="194" spans="1:10">
      <c r="A194" s="184" t="str">
        <f>ПТО!F12</f>
        <v xml:space="preserve">  -  поверка (замена) манометров и термометров</v>
      </c>
      <c r="B194" s="184"/>
      <c r="C194" s="184"/>
      <c r="D194" s="184"/>
      <c r="E194" s="184"/>
      <c r="F194" s="184"/>
      <c r="G194" s="184"/>
      <c r="H194" s="49">
        <f>ПТО!G12</f>
        <v>4000</v>
      </c>
      <c r="I194" s="50" t="s">
        <v>74</v>
      </c>
    </row>
    <row r="195" spans="1:10" ht="18.75" customHeight="1">
      <c r="A195" s="184" t="str">
        <f>ПТО!F13</f>
        <v xml:space="preserve">  -  механизированная уборка и вывоз снега с придомовой территории</v>
      </c>
      <c r="B195" s="184"/>
      <c r="C195" s="184"/>
      <c r="D195" s="184"/>
      <c r="E195" s="184"/>
      <c r="F195" s="184"/>
      <c r="G195" s="184"/>
      <c r="H195" s="49">
        <f>ПТО!G13</f>
        <v>32000</v>
      </c>
      <c r="I195" s="50" t="s">
        <v>74</v>
      </c>
    </row>
    <row r="196" spans="1:10" ht="35.25" customHeight="1">
      <c r="A196" s="184" t="str">
        <f>ПТО!F14</f>
        <v xml:space="preserve">  -  очистка кровли от снега</v>
      </c>
      <c r="B196" s="184"/>
      <c r="C196" s="184"/>
      <c r="D196" s="184"/>
      <c r="E196" s="184"/>
      <c r="F196" s="184"/>
      <c r="G196" s="184"/>
      <c r="H196" s="49">
        <f>ПТО!G14</f>
        <v>26000</v>
      </c>
      <c r="I196" s="50" t="s">
        <v>74</v>
      </c>
    </row>
    <row r="197" spans="1:10" ht="18.75" hidden="1" customHeight="1">
      <c r="A197" s="184">
        <f>ПТО!F15</f>
        <v>0</v>
      </c>
      <c r="B197" s="184"/>
      <c r="C197" s="184"/>
      <c r="D197" s="184"/>
      <c r="E197" s="184"/>
      <c r="F197" s="184"/>
      <c r="G197" s="184"/>
      <c r="H197" s="49">
        <f>ПТО!G15</f>
        <v>0</v>
      </c>
      <c r="I197" s="50" t="s">
        <v>74</v>
      </c>
    </row>
    <row r="198" spans="1:10" ht="18.75" hidden="1" customHeight="1">
      <c r="A198" s="184">
        <f>ПТО!F16</f>
        <v>0</v>
      </c>
      <c r="B198" s="184"/>
      <c r="C198" s="184"/>
      <c r="D198" s="184"/>
      <c r="E198" s="184"/>
      <c r="F198" s="184"/>
      <c r="G198" s="184"/>
      <c r="H198" s="49">
        <f>ПТО!G16</f>
        <v>0</v>
      </c>
      <c r="I198" s="52" t="s">
        <v>74</v>
      </c>
    </row>
    <row r="199" spans="1:10" ht="18.75" hidden="1" customHeight="1">
      <c r="A199" s="184">
        <f>ПТО!F17</f>
        <v>0</v>
      </c>
      <c r="B199" s="184"/>
      <c r="C199" s="184"/>
      <c r="D199" s="184"/>
      <c r="E199" s="184"/>
      <c r="F199" s="184"/>
      <c r="G199" s="184"/>
      <c r="H199" s="49">
        <f>ПТО!G17</f>
        <v>0</v>
      </c>
      <c r="I199" s="50" t="s">
        <v>74</v>
      </c>
    </row>
    <row r="200" spans="1:10" hidden="1">
      <c r="A200" s="184">
        <f>ПТО!F18</f>
        <v>0</v>
      </c>
      <c r="B200" s="184"/>
      <c r="C200" s="184"/>
      <c r="D200" s="184"/>
      <c r="E200" s="184"/>
      <c r="F200" s="184"/>
      <c r="G200" s="184"/>
      <c r="H200" s="49">
        <f>ПТО!G18</f>
        <v>0</v>
      </c>
      <c r="I200" s="50" t="s">
        <v>74</v>
      </c>
    </row>
    <row r="201" spans="1:10" hidden="1">
      <c r="A201" s="184">
        <f>ПТО!F19</f>
        <v>0</v>
      </c>
      <c r="B201" s="184"/>
      <c r="C201" s="184"/>
      <c r="D201" s="184"/>
      <c r="E201" s="184"/>
      <c r="F201" s="184"/>
      <c r="G201" s="184"/>
      <c r="H201" s="49">
        <f>ПТО!G19</f>
        <v>0</v>
      </c>
      <c r="I201" s="50" t="s">
        <v>74</v>
      </c>
    </row>
    <row r="202" spans="1:10" hidden="1">
      <c r="A202" s="184">
        <f>ПТО!F20</f>
        <v>0</v>
      </c>
      <c r="B202" s="184"/>
      <c r="C202" s="184"/>
      <c r="D202" s="184"/>
      <c r="E202" s="184"/>
      <c r="F202" s="184"/>
      <c r="G202" s="184"/>
      <c r="H202" s="49">
        <f>ПТО!G20</f>
        <v>0</v>
      </c>
      <c r="I202" s="50" t="s">
        <v>74</v>
      </c>
    </row>
    <row r="203" spans="1:10" hidden="1">
      <c r="A203" s="184">
        <f>ПТО!F21</f>
        <v>0</v>
      </c>
      <c r="B203" s="184"/>
      <c r="C203" s="184"/>
      <c r="D203" s="184"/>
      <c r="E203" s="184"/>
      <c r="F203" s="184"/>
      <c r="G203" s="184"/>
      <c r="H203" s="49">
        <f>ПТО!G21</f>
        <v>0</v>
      </c>
      <c r="I203" s="50" t="s">
        <v>74</v>
      </c>
    </row>
    <row r="204" spans="1:10" hidden="1">
      <c r="A204" s="184">
        <f>ПТО!F22</f>
        <v>0</v>
      </c>
      <c r="B204" s="184"/>
      <c r="C204" s="184"/>
      <c r="D204" s="184"/>
      <c r="E204" s="184"/>
      <c r="F204" s="184"/>
      <c r="G204" s="184"/>
      <c r="H204" s="49">
        <f>ПТО!G22</f>
        <v>0</v>
      </c>
      <c r="I204" s="50" t="s">
        <v>74</v>
      </c>
    </row>
    <row r="205" spans="1:10" hidden="1">
      <c r="A205" s="184">
        <f>ПТО!F23</f>
        <v>0</v>
      </c>
      <c r="B205" s="184"/>
      <c r="C205" s="184"/>
      <c r="D205" s="184"/>
      <c r="E205" s="184"/>
      <c r="F205" s="184"/>
      <c r="G205" s="184"/>
      <c r="H205" s="49">
        <f>ПТО!G23</f>
        <v>0</v>
      </c>
      <c r="I205" s="50" t="s">
        <v>74</v>
      </c>
    </row>
    <row r="206" spans="1:10" hidden="1">
      <c r="A206" s="184">
        <f>ПТО!F24</f>
        <v>0</v>
      </c>
      <c r="B206" s="184"/>
      <c r="C206" s="184"/>
      <c r="D206" s="184"/>
      <c r="E206" s="184"/>
      <c r="F206" s="184"/>
      <c r="G206" s="184"/>
      <c r="H206" s="49">
        <f>ПТО!G24</f>
        <v>0</v>
      </c>
      <c r="I206" s="50" t="s">
        <v>74</v>
      </c>
    </row>
    <row r="207" spans="1:10" hidden="1">
      <c r="A207" s="184">
        <f>ПТО!F25</f>
        <v>0</v>
      </c>
      <c r="B207" s="184"/>
      <c r="C207" s="184"/>
      <c r="D207" s="184"/>
      <c r="E207" s="184"/>
      <c r="F207" s="184"/>
      <c r="G207" s="184"/>
      <c r="H207" s="49">
        <f>ПТО!G25</f>
        <v>0</v>
      </c>
      <c r="I207" s="50" t="s">
        <v>74</v>
      </c>
    </row>
    <row r="208" spans="1:10" hidden="1">
      <c r="A208" s="184">
        <f>ПТО!F26</f>
        <v>0</v>
      </c>
      <c r="B208" s="184"/>
      <c r="C208" s="184"/>
      <c r="D208" s="184"/>
      <c r="E208" s="184"/>
      <c r="F208" s="184"/>
      <c r="G208" s="184"/>
      <c r="H208" s="49">
        <f>ПТО!G26</f>
        <v>0</v>
      </c>
      <c r="I208" s="50" t="s">
        <v>74</v>
      </c>
    </row>
    <row r="209" spans="1:9" hidden="1">
      <c r="A209" s="184">
        <f>ПТО!F27</f>
        <v>0</v>
      </c>
      <c r="B209" s="184"/>
      <c r="C209" s="184"/>
      <c r="D209" s="184"/>
      <c r="E209" s="184"/>
      <c r="F209" s="184"/>
      <c r="G209" s="184"/>
      <c r="H209" s="49">
        <f>ПТО!G27</f>
        <v>0</v>
      </c>
      <c r="I209" s="50" t="s">
        <v>74</v>
      </c>
    </row>
    <row r="210" spans="1:9" hidden="1">
      <c r="A210" s="184">
        <f>ПТО!F28</f>
        <v>0</v>
      </c>
      <c r="B210" s="184"/>
      <c r="C210" s="184"/>
      <c r="D210" s="184"/>
      <c r="E210" s="184"/>
      <c r="F210" s="184"/>
      <c r="G210" s="184"/>
      <c r="H210" s="49">
        <f>ПТО!G28</f>
        <v>0</v>
      </c>
      <c r="I210" s="50" t="s">
        <v>74</v>
      </c>
    </row>
    <row r="211" spans="1:9" hidden="1">
      <c r="A211" s="184">
        <f>ПТО!F29</f>
        <v>0</v>
      </c>
      <c r="B211" s="184"/>
      <c r="C211" s="184"/>
      <c r="D211" s="184"/>
      <c r="E211" s="184"/>
      <c r="F211" s="184"/>
      <c r="G211" s="184"/>
      <c r="H211" s="49">
        <f>ПТО!G29</f>
        <v>0</v>
      </c>
      <c r="I211" s="50" t="s">
        <v>74</v>
      </c>
    </row>
    <row r="212" spans="1:9" hidden="1">
      <c r="A212" s="184">
        <f>ПТО!F30</f>
        <v>0</v>
      </c>
      <c r="B212" s="184"/>
      <c r="C212" s="184"/>
      <c r="D212" s="184"/>
      <c r="E212" s="184"/>
      <c r="F212" s="184"/>
      <c r="G212" s="184"/>
      <c r="H212" s="49">
        <f>ПТО!G30</f>
        <v>0</v>
      </c>
      <c r="I212" s="50" t="s">
        <v>74</v>
      </c>
    </row>
    <row r="213" spans="1:9" hidden="1">
      <c r="A213" s="184">
        <f>ПТО!F31</f>
        <v>0</v>
      </c>
      <c r="B213" s="184"/>
      <c r="C213" s="184"/>
      <c r="D213" s="184"/>
      <c r="E213" s="184"/>
      <c r="F213" s="184"/>
      <c r="G213" s="18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62000</v>
      </c>
      <c r="I214" s="56" t="s">
        <v>76</v>
      </c>
    </row>
  </sheetData>
  <sheetProtection algorithmName="SHA-512" hashValue="iSHw1w8vE2qQqnRNPes76WF/IM7lOfVk7ZS1Ui1ibD7UNeKnJB66OBaW0KhJZFOFIDDHMaGFW0c4olhXmDp5+g==" saltValue="JJljoumWmbFCUdaBSf23k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188</v>
      </c>
      <c r="G1" s="101">
        <f>174140.54</f>
        <v>174140.54</v>
      </c>
    </row>
    <row r="2" spans="1:12" ht="18.75" customHeight="1">
      <c r="A2" s="120" t="s">
        <v>72</v>
      </c>
      <c r="B2" s="119" t="s">
        <v>178</v>
      </c>
      <c r="C2" s="119">
        <v>2</v>
      </c>
      <c r="D2" s="151">
        <v>16200</v>
      </c>
      <c r="E2" s="145" t="s">
        <v>202</v>
      </c>
      <c r="F2" s="155" t="s">
        <v>206</v>
      </c>
      <c r="G2" s="32"/>
      <c r="L2" s="33" t="str">
        <f t="shared" ref="L2:L22" si="0">IF(A2&gt;0,"ТР",0)</f>
        <v>ТР</v>
      </c>
    </row>
    <row r="3" spans="1:12" ht="18.75" customHeight="1">
      <c r="A3" s="129" t="s">
        <v>190</v>
      </c>
      <c r="B3" s="130" t="s">
        <v>181</v>
      </c>
      <c r="C3" s="131">
        <v>1</v>
      </c>
      <c r="D3" s="132">
        <v>23925</v>
      </c>
      <c r="E3" s="133" t="s">
        <v>191</v>
      </c>
      <c r="F3" s="30"/>
      <c r="G3" s="30"/>
      <c r="L3" s="33" t="str">
        <f t="shared" si="0"/>
        <v>ТР</v>
      </c>
    </row>
    <row r="4" spans="1:12" ht="18.75" customHeight="1">
      <c r="A4" s="44" t="s">
        <v>208</v>
      </c>
      <c r="B4" s="134" t="s">
        <v>181</v>
      </c>
      <c r="C4" s="135">
        <v>1</v>
      </c>
      <c r="D4" s="46">
        <v>2500</v>
      </c>
      <c r="E4" s="44" t="s">
        <v>194</v>
      </c>
      <c r="F4" s="30"/>
      <c r="G4" s="30"/>
      <c r="L4" s="33" t="str">
        <f t="shared" si="0"/>
        <v>ТР</v>
      </c>
    </row>
    <row r="5" spans="1:12" ht="18.75" customHeight="1">
      <c r="A5" s="136" t="s">
        <v>182</v>
      </c>
      <c r="B5" s="130" t="s">
        <v>181</v>
      </c>
      <c r="C5" s="131">
        <v>1</v>
      </c>
      <c r="D5" s="132">
        <v>50630</v>
      </c>
      <c r="E5" s="137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189</v>
      </c>
      <c r="B6" s="139" t="s">
        <v>181</v>
      </c>
      <c r="C6" s="140">
        <v>1</v>
      </c>
      <c r="D6" s="141">
        <v>806.85</v>
      </c>
      <c r="E6" s="142" t="s">
        <v>193</v>
      </c>
      <c r="F6" s="44"/>
      <c r="G6" s="44"/>
      <c r="K6" s="46"/>
      <c r="L6" s="33" t="str">
        <f t="shared" si="0"/>
        <v>ТР</v>
      </c>
    </row>
    <row r="7" spans="1:12" ht="18.75" customHeight="1">
      <c r="A7" s="147" t="s">
        <v>195</v>
      </c>
      <c r="B7" s="144" t="s">
        <v>181</v>
      </c>
      <c r="C7" s="135">
        <v>1</v>
      </c>
      <c r="D7" s="46">
        <f>1247.26+62.44+427.76+37.26</f>
        <v>1774.72</v>
      </c>
      <c r="E7" s="145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43" t="s">
        <v>196</v>
      </c>
      <c r="B8" s="144" t="s">
        <v>181</v>
      </c>
      <c r="C8" s="135">
        <v>1</v>
      </c>
      <c r="D8" s="46">
        <v>4000</v>
      </c>
      <c r="E8" s="145" t="s">
        <v>197</v>
      </c>
      <c r="F8" s="45"/>
      <c r="G8" s="45"/>
      <c r="K8" s="43"/>
      <c r="L8" s="33" t="str">
        <f t="shared" si="0"/>
        <v>ТР</v>
      </c>
    </row>
    <row r="9" spans="1:12">
      <c r="A9" s="156" t="s">
        <v>209</v>
      </c>
      <c r="B9" s="146" t="s">
        <v>181</v>
      </c>
      <c r="C9" s="135">
        <v>1</v>
      </c>
      <c r="D9" s="46">
        <v>2400</v>
      </c>
      <c r="E9" s="145" t="s">
        <v>198</v>
      </c>
      <c r="F9" s="44"/>
      <c r="G9" s="44"/>
      <c r="K9" s="43"/>
      <c r="L9" s="33" t="str">
        <f t="shared" si="0"/>
        <v>ТР</v>
      </c>
    </row>
    <row r="10" spans="1:12">
      <c r="A10" s="148" t="s">
        <v>199</v>
      </c>
      <c r="B10" s="149" t="s">
        <v>181</v>
      </c>
      <c r="C10" s="119">
        <v>1</v>
      </c>
      <c r="D10" s="121">
        <v>2000</v>
      </c>
      <c r="E10" s="150" t="s">
        <v>201</v>
      </c>
      <c r="L10" s="33" t="str">
        <f t="shared" si="0"/>
        <v>ТР</v>
      </c>
    </row>
    <row r="11" spans="1:12" ht="94.5">
      <c r="A11" s="120"/>
      <c r="B11" s="119"/>
      <c r="C11" s="119"/>
      <c r="D11" s="121"/>
      <c r="E11" s="123"/>
      <c r="F11" s="111" t="s">
        <v>184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4000</v>
      </c>
      <c r="L12" s="33">
        <f t="shared" si="0"/>
        <v>0</v>
      </c>
    </row>
    <row r="13" spans="1:12" ht="31.5">
      <c r="A13" s="30"/>
      <c r="F13" s="112" t="s">
        <v>183</v>
      </c>
      <c r="G13" s="128">
        <v>32000</v>
      </c>
      <c r="L13" s="33">
        <f t="shared" si="0"/>
        <v>0</v>
      </c>
    </row>
    <row r="14" spans="1:12" ht="15.75">
      <c r="A14" s="30"/>
      <c r="F14" s="112" t="s">
        <v>207</v>
      </c>
      <c r="G14" s="128">
        <v>26000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22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8">
        <v>249179.51999999999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249179.51999999999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118">
        <v>261793.44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0" s="41">
        <f t="shared" ref="N40:N53" si="4">B40</f>
        <v>261793.44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107604.36000000002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107604.36000000002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78734.880000000005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78734.880000000005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25588.800000000003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25588.800000000003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8">
        <v>101699.28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101699.28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174</v>
      </c>
      <c r="B46" s="118">
        <v>135817.68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135817.68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4"/>
      <c r="C47" s="125"/>
      <c r="D47" s="48"/>
      <c r="E47" s="124">
        <v>1142</v>
      </c>
      <c r="F47" s="124">
        <v>931.5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37.945999999999998</v>
      </c>
      <c r="F53" s="126">
        <v>5592.7</v>
      </c>
      <c r="G53" s="127">
        <v>3.48</v>
      </c>
      <c r="H53" s="31">
        <f>G53*E47/F53</f>
        <v>0.71059774348704563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H54" s="31">
        <f>H53*53.4</f>
        <v>37.945919502208234</v>
      </c>
    </row>
    <row r="59" spans="5:16">
      <c r="E59" s="31">
        <v>0.66700000000000004</v>
      </c>
      <c r="F59" s="126">
        <v>5592.7</v>
      </c>
      <c r="G59" s="31">
        <v>7.4999999999999997E-2</v>
      </c>
      <c r="H59" s="31">
        <f>G59*F47</f>
        <v>69.862499999999997</v>
      </c>
    </row>
    <row r="60" spans="5:16">
      <c r="H60" s="31">
        <f>H59/F59</f>
        <v>1.2491730291272552E-2</v>
      </c>
    </row>
    <row r="61" spans="5:16">
      <c r="H61" s="31">
        <f>H60*53.4</f>
        <v>0.66705839755395424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rVtCaxDuq5b3oH5ogNT2XESXS1sZ+j68B/M+r3QqYojSNFLqnYSRE4tB14Qg7TBdwCguQOhIqcg8xeSrtDVHsQ==" saltValue="p+2E7tCtED8OUMCojCT9E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8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5409.3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52" t="s">
        <v>203</v>
      </c>
      <c r="F2" s="153" t="s">
        <v>204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154" t="s">
        <v>205</v>
      </c>
      <c r="F3" s="153" t="s">
        <v>206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682246.99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1221777.7120000001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931260.43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(F1*4*11)+(F1*4.74*1)</f>
        <v>263649.28200000001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26868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1292609.45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1292609.45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1292609.45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611415.25200000009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8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8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8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8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7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7"/>
      <c r="N26" s="63"/>
    </row>
    <row r="27" spans="1:15" ht="18.75" customHeight="1">
      <c r="A27" s="70" t="s">
        <v>104</v>
      </c>
      <c r="B27" s="75" t="s">
        <v>3</v>
      </c>
      <c r="C27" s="86">
        <v>166026.20000000001</v>
      </c>
      <c r="D27" s="81" t="s">
        <v>59</v>
      </c>
      <c r="E27" s="64"/>
      <c r="F27" s="64"/>
      <c r="G27" s="64"/>
      <c r="H27" s="64"/>
      <c r="I27" s="64"/>
      <c r="J27" s="64"/>
      <c r="M27" s="187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7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7"/>
      <c r="N29" s="63"/>
    </row>
    <row r="30" spans="1:15" ht="18.75" customHeight="1">
      <c r="A30" s="70" t="s">
        <v>107</v>
      </c>
      <c r="B30" s="75" t="s">
        <v>17</v>
      </c>
      <c r="C30" s="86">
        <v>136642.12</v>
      </c>
      <c r="D30" s="81" t="s">
        <v>65</v>
      </c>
      <c r="E30" s="64"/>
      <c r="F30" s="64"/>
      <c r="G30" s="64"/>
      <c r="H30" s="64"/>
      <c r="I30" s="64"/>
      <c r="J30" s="64"/>
      <c r="M30" s="187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7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7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7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7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166</v>
      </c>
      <c r="G37" s="66"/>
      <c r="H37" s="66"/>
      <c r="I37" s="66"/>
      <c r="L37" s="63"/>
      <c r="M37" s="186"/>
      <c r="N37" s="63"/>
      <c r="O37" s="63"/>
    </row>
    <row r="38" spans="1:15" ht="18.75" customHeight="1">
      <c r="A38" s="70" t="s">
        <v>112</v>
      </c>
      <c r="B38" s="78" t="s">
        <v>36</v>
      </c>
      <c r="C38" s="90"/>
      <c r="D38" s="94" t="s">
        <v>164</v>
      </c>
      <c r="E38" s="68"/>
      <c r="G38" s="67"/>
      <c r="H38" s="67"/>
      <c r="L38" s="63"/>
      <c r="M38" s="186"/>
      <c r="N38" s="63"/>
      <c r="O38" s="63"/>
    </row>
    <row r="39" spans="1:15" ht="18.75" customHeight="1">
      <c r="A39" s="70" t="s">
        <v>113</v>
      </c>
      <c r="B39" s="78" t="s">
        <v>37</v>
      </c>
      <c r="C39" s="91"/>
      <c r="D39" s="94" t="s">
        <v>165</v>
      </c>
      <c r="E39" s="68"/>
      <c r="G39" s="67"/>
      <c r="H39" s="67"/>
      <c r="L39" s="63"/>
      <c r="M39" s="186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6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86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86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6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6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244431.66</v>
      </c>
      <c r="F45" s="94" t="s">
        <v>166</v>
      </c>
      <c r="G45" s="66"/>
      <c r="H45" s="66"/>
      <c r="L45" s="63"/>
      <c r="M45" s="186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16776.37</v>
      </c>
      <c r="D46" s="94" t="s">
        <v>167</v>
      </c>
      <c r="E46" s="68"/>
      <c r="G46" s="67"/>
      <c r="H46" s="67"/>
      <c r="L46" s="63"/>
      <c r="M46" s="186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255168.94</v>
      </c>
      <c r="D47" s="94" t="s">
        <v>165</v>
      </c>
      <c r="E47" s="68"/>
      <c r="G47" s="67"/>
      <c r="H47" s="67"/>
      <c r="L47" s="63"/>
      <c r="M47" s="186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6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244431.66</v>
      </c>
      <c r="D49" s="80" t="s">
        <v>58</v>
      </c>
      <c r="E49" s="68"/>
      <c r="G49" s="67"/>
      <c r="H49" s="67"/>
      <c r="L49" s="63"/>
      <c r="M49" s="186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244431.66</v>
      </c>
      <c r="D50" s="80" t="s">
        <v>58</v>
      </c>
      <c r="E50" s="68"/>
      <c r="G50" s="67"/>
      <c r="H50" s="67"/>
      <c r="L50" s="63"/>
      <c r="M50" s="186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6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6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294354.21000000002</v>
      </c>
      <c r="F53" s="94" t="s">
        <v>166</v>
      </c>
      <c r="G53" s="66"/>
      <c r="H53" s="66"/>
      <c r="L53" s="63"/>
      <c r="M53" s="186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16620.79</v>
      </c>
      <c r="D54" s="94" t="s">
        <v>167</v>
      </c>
      <c r="E54" s="69"/>
      <c r="F54" s="89"/>
      <c r="G54" s="64"/>
      <c r="H54" s="64"/>
      <c r="L54" s="63"/>
      <c r="M54" s="186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304400.53000000003</v>
      </c>
      <c r="D55" s="94" t="s">
        <v>165</v>
      </c>
      <c r="E55" s="69"/>
      <c r="G55" s="64"/>
      <c r="H55" s="64"/>
      <c r="L55" s="63"/>
      <c r="M55" s="186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6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294354.21000000002</v>
      </c>
      <c r="D57" s="80" t="s">
        <v>58</v>
      </c>
      <c r="E57" s="69"/>
      <c r="G57" s="64"/>
      <c r="H57" s="64"/>
      <c r="L57" s="63"/>
      <c r="M57" s="186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294354.21000000002</v>
      </c>
      <c r="D58" s="80" t="s">
        <v>58</v>
      </c>
      <c r="E58" s="69"/>
      <c r="G58" s="64"/>
      <c r="H58" s="64"/>
      <c r="L58" s="63"/>
      <c r="M58" s="186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6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6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54</v>
      </c>
      <c r="E61" s="95">
        <v>238848.67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441.98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247449.15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238848.67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238848.67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31789.34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2024-03-28T05:33:56Z</dcterms:modified>
</cp:coreProperties>
</file>