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G110" i="1"/>
  <c r="A110" i="1"/>
  <c r="J109" i="1"/>
  <c r="J104" i="1"/>
  <c r="J103" i="1"/>
  <c r="A109" i="1"/>
  <c r="G102" i="1"/>
  <c r="F102" i="1"/>
  <c r="J101" i="1"/>
  <c r="J96" i="1"/>
  <c r="J95" i="1"/>
  <c r="G94" i="1"/>
  <c r="K94" i="1"/>
  <c r="A105" i="1" l="1"/>
  <c r="F110" i="1"/>
  <c r="A115" i="1"/>
  <c r="A111" i="1"/>
  <c r="A117" i="1"/>
  <c r="A112" i="1"/>
  <c r="A113" i="1"/>
  <c r="D110" i="1"/>
  <c r="A121" i="1"/>
  <c r="A118" i="1"/>
  <c r="A122" i="1"/>
  <c r="F118" i="1"/>
  <c r="F134" i="1"/>
  <c r="A141" i="1"/>
  <c r="A95" i="1"/>
  <c r="A137" i="1"/>
  <c r="A123" i="1"/>
  <c r="A119" i="1"/>
  <c r="A125" i="1"/>
  <c r="A94" i="1"/>
  <c r="A96" i="1"/>
  <c r="D94" i="1"/>
  <c r="A99" i="1"/>
  <c r="A100" i="1"/>
  <c r="A106" i="1"/>
  <c r="A97" i="1"/>
  <c r="A103" i="1"/>
  <c r="A134" i="1"/>
  <c r="A135" i="1"/>
  <c r="A139" i="1"/>
  <c r="A138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<sst xmlns="http://schemas.openxmlformats.org/spreadsheetml/2006/main" count="536" uniqueCount="190">
  <si>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</si>
  <si>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</si>
  <si>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</si>
  <si>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</si>
  <si>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</si>
  <si>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</si>
  <si>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</si>
  <si>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</si>
  <si>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</si>
  <si>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</si>
  <si>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</si>
  <si>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</si>
  <si>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</si>
  <si>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</si>
  <si>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</si>
  <si>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</si>
  <si>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</si>
  <si>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</si>
  <si>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</si>
  <si>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</si>
  <si>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</si>
  <si>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</si>
  <si>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</si>
  <si>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</si>
  <si>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</si>
  <si>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</si>
  <si>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</si>
  <si>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</si>
  <si>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</si>
  <si>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</si>
  <si>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</si>
  <si>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</si>
  <si>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</si>
  <si>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</si>
  <si>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</si>
  <si>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</si>
  <si>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</si>
  <si>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</si>
  <si>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</si>
  <si>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</si>
  <si>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</si>
  <si>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</si>
  <si>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</si>
  <si>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</si>
  <si>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</si>
  <si>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</si>
  <si>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</si>
  <si>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</si>
  <si>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</si>
  <si>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</si>
  <si>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</si>
  <si>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</si>
  <si>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</si>
  <si>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</si>
  <si>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</si>
  <si>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</si>
  <si>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</si>
  <si>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</si>
  <si>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</si>
  <si>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</si>
  <si>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</si>
  <si>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</si>
  <si>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</si>
  <si>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</si>
  <si>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</si>
  <si>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</si>
  <si>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</si>
  <si>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</si>
  <si>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</si>
  <si>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</si>
  <si>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</si>
  <si>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</si>
  <si>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</si>
  <si>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</si>
  <si>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</si>
  <si>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</si>
  <si>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</si>
  <si>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</si>
  <si>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</si>
  <si>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</si>
  <si>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</si>
  <si>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</si>
  <si>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</si>
  <si>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</si>
  <si>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</si>
  <si>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</si>
  <si>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</si>
  <si>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</si>
  <si>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</si>
  <si>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</si>
  <si>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</si>
  <si>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</si>
  <si>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</si>
  <si>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</si>
  <si>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</si>
  <si>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</si>
  <si>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</si>
  <si>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</si>
  <si>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</si>
  <si>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</si>
  <si>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</si>
  <si>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</si>
  <si>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</si>
  <si>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</si>
  <si>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</si>
  <si>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</si>
  <si>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</si>
  <si>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</si>
  <si>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</si>
  <si>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</si>
  <si>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</si>
  <si>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</si>
  <si>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</si>
  <si>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</si>
  <si>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</si>
  <si>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</si>
  <si>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</si>
  <si>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</si>
  <si>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</si>
  <si>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</si>
  <si>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</si>
  <si>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</si>
  <si>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</si>
  <si>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</si>
  <si>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</si>
  <si>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</si>
  <si>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</si>
  <si>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</si>
  <si>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</si>
  <si>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</si>
  <si>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</si>
  <si>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</si>
  <si>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</si>
  <si>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</si>
  <si>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</si>
  <si>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</si>
  <si>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</si>
  <si>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</si>
  <si>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</si>
  <si>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</si>
  <si>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</si>
  <si>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</si>
  <si>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</si>
  <si>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</si>
  <si>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</si>
  <si>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</si>
  <si>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</si>
  <si>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</si>
  <si>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</si>
  <si>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</si>
  <si>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</si>
  <si>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</si>
  <si>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</si>
  <si>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</si>
  <si>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</si>
  <si>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</si>
  <si>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</si>
  <si>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</si>
  <si>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</si>
  <si>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</si>
  <si>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</si>
  <si>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</si>
  <si>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</si>
  <si>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</si>
  <si>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</si>
  <si>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</si>
  <si>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</si>
  <si>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</si>
  <si>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</si>
  <si>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</si>
  <si>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</si>
  <si>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</si>
  <si>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</si>
  <si>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33/1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</si>
  <si>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</si>
  <si>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</si>
  <si>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33/1 в части текущего ремонта</t>
  </si>
  <si>
    <t>Начало отчетного периода</t>
  </si>
  <si>
    <t>Механизированная уборка и вывоз снега с придомовой территории.</t>
  </si>
  <si>
    <t>разово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</si>
  <si>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</si>
  <si>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</si>
  <si>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</si>
  <si>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</si>
  <si>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</si>
  <si>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</si>
  <si>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Очистка кровли от снега.</t>
  </si>
  <si>
    <t>АВР 1/23 от 20.02.2023, Решение</t>
  </si>
  <si>
    <t>АВР 2/23 от 27.02.2023, Решение</t>
  </si>
  <si>
    <t xml:space="preserve">  -  очистка кровли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</si>
</sst>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" fillId="0" borderId="0"/>
  </cellStyleXfs>
  <cellXfs count="16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4" fontId="11" fillId="3" borderId="0" xfId="0" applyNumberFormat="1" applyFont="1" applyFill="1"/>
    <xf numFmtId="4" fontId="0" fillId="0" borderId="0" xfId="0" applyNumberFormat="1" applyBorder="1" applyAlignment="1">
      <alignment horizontal="center"/>
    </xf>
    <xf numFmtId="4" fontId="21" fillId="3" borderId="0" xfId="6" applyNumberFormat="1" applyFont="1" applyFill="1" applyBorder="1" applyAlignment="1">
      <alignment horizontal="left" vertical="center" wrapText="1"/>
    </xf>
    <xf numFmtId="4" fontId="11" fillId="0" borderId="0" xfId="1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0" fontId="19" fillId="0" borderId="0" xfId="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7" zoomScaleNormal="100" zoomScaleSheetLayoutView="100" workbookViewId="0">
      <selection activeCell="K10" sqref="K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3" t="s">
        <v>173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177</v>
      </c>
      <c r="E4" s="119">
        <v>44927</v>
      </c>
      <c r="K4" s="112"/>
      <c r="L4" s="112"/>
      <c r="M4" s="112"/>
      <c r="N4" s="112"/>
    </row>
    <row r="5" spans="1:18">
      <c r="A5" s="1" t="s">
        <v>0</v>
      </c>
      <c r="E5" s="119">
        <v>45291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4"/>
      <c r="M8" s="112"/>
      <c r="N8" s="112"/>
      <c r="O8" s="72" t="s">
        <v>80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4"/>
      <c r="M9" s="112"/>
      <c r="N9" s="112"/>
      <c r="O9" s="72" t="s">
        <v>81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174558.13</v>
      </c>
      <c r="K10" s="112"/>
      <c r="L10" s="154"/>
      <c r="M10" s="112"/>
      <c r="N10" s="112"/>
      <c r="O10" s="72" t="s">
        <v>82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159724.99</v>
      </c>
      <c r="K11" s="112"/>
      <c r="L11" s="154"/>
      <c r="M11" s="112"/>
      <c r="N11" s="112"/>
      <c r="O11" s="72" t="s">
        <v>83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117136.99</v>
      </c>
      <c r="K12" s="112"/>
      <c r="L12" s="154"/>
      <c r="M12" s="112"/>
      <c r="N12" s="112"/>
      <c r="O12" s="72" t="s">
        <v>84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42588</v>
      </c>
      <c r="K13" s="112"/>
      <c r="L13" s="154"/>
      <c r="M13" s="112"/>
      <c r="N13" s="112"/>
      <c r="O13" s="72" t="s">
        <v>85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2"/>
      <c r="L14" s="154"/>
      <c r="M14" s="112"/>
      <c r="N14" s="112"/>
      <c r="O14" s="72" t="s">
        <v>86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145738</v>
      </c>
      <c r="K15" s="112"/>
      <c r="L15" s="154"/>
      <c r="M15" s="112"/>
      <c r="N15" s="112"/>
      <c r="O15" s="72" t="s">
        <v>87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145738</v>
      </c>
      <c r="K16" s="112"/>
      <c r="L16" s="154"/>
      <c r="M16" s="112"/>
      <c r="N16" s="112"/>
      <c r="O16" s="72" t="s">
        <v>88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4"/>
      <c r="M17" s="112"/>
      <c r="N17" s="112"/>
      <c r="O17" s="72" t="s">
        <v>89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4"/>
      <c r="M18" s="112"/>
      <c r="N18" s="112"/>
      <c r="O18" s="72" t="s">
        <v>90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4"/>
      <c r="M19" s="112"/>
      <c r="N19" s="112"/>
      <c r="O19" s="72" t="s">
        <v>91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4"/>
      <c r="M20" s="112"/>
      <c r="N20" s="112"/>
      <c r="O20" s="72" t="s">
        <v>92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145738</v>
      </c>
      <c r="K21" s="112"/>
      <c r="L21" s="154"/>
      <c r="M21" s="112"/>
      <c r="N21" s="112"/>
      <c r="O21" s="72" t="s">
        <v>93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4"/>
      <c r="M22" s="112"/>
      <c r="N22" s="112"/>
      <c r="O22" s="72" t="s">
        <v>94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4"/>
      <c r="M23" s="112"/>
      <c r="N23" s="112"/>
      <c r="O23" s="72" t="s">
        <v>95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188545.12</v>
      </c>
      <c r="K24" s="112"/>
      <c r="L24" s="154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39161.760000000002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38">
        <f>ПТО!A40</f>
        <v>0</v>
      </c>
      <c r="B29" s="138"/>
      <c r="C29" s="138"/>
      <c r="D29" s="138"/>
      <c r="E29" s="138"/>
      <c r="F29" s="143" t="e">
        <f>VLOOKUP(A29,ПТО!$A$39:$D$53,2,FALSE)</f>
        <v>#N/A</v>
      </c>
      <c r="G29" s="143"/>
      <c r="H29" s="42" t="e">
        <f>VLOOKUP(A29,ПТО!$A$39:$D$53,3,FALSE)</f>
        <v>#N/A</v>
      </c>
      <c r="I29" s="139" t="e">
        <f>VLOOKUP(A29,ПТО!$A$39:$D$53,4,FALSE)</f>
        <v>#N/A</v>
      </c>
      <c r="J29" s="139"/>
      <c r="K29" s="112"/>
      <c r="L29" s="155"/>
      <c r="M29" s="112"/>
      <c r="N29" s="112"/>
      <c r="O29" s="23">
        <f t="shared" si="1"/>
        <v>0</v>
      </c>
      <c r="R29" s="1" t="s">
        <v>70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12776.4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5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10221.120000000001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55"/>
      <c r="M32" s="112"/>
      <c r="N32" s="112"/>
      <c r="O32" s="23">
        <f t="shared" si="1"/>
        <v>0</v>
      </c>
      <c r="R32" s="1" t="s">
        <v>70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2981.16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12776.4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38" t="str">
        <f>ПТО!A46</f>
        <v>Работы (услуги) по управлению многоквартирным домом</v>
      </c>
      <c r="B35" s="138"/>
      <c r="C35" s="138"/>
      <c r="D35" s="138"/>
      <c r="E35" s="138"/>
      <c r="F35" s="143">
        <f>VLOOKUP(A35,ПТО!$A$39:$D$53,2,FALSE)</f>
        <v>42588</v>
      </c>
      <c r="G35" s="143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12"/>
      <c r="L35" s="155"/>
      <c r="M35" s="118"/>
      <c r="N35" s="112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55"/>
      <c r="M36" s="118"/>
      <c r="N36" s="112"/>
      <c r="O36" s="23">
        <f t="shared" si="1"/>
        <v>0</v>
      </c>
      <c r="R36" s="1" t="s">
        <v>70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55"/>
      <c r="M37" s="118"/>
      <c r="N37" s="112"/>
      <c r="O37" s="23">
        <f t="shared" si="1"/>
        <v>0</v>
      </c>
      <c r="R37" s="1" t="s">
        <v>70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55"/>
      <c r="M38" s="118"/>
      <c r="N38" s="112"/>
      <c r="O38" s="23">
        <f t="shared" si="1"/>
        <v>0</v>
      </c>
      <c r="R38" s="1" t="s">
        <v>70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55"/>
      <c r="M39" s="118"/>
      <c r="N39" s="112"/>
      <c r="O39" s="23">
        <f t="shared" si="1"/>
        <v>0</v>
      </c>
      <c r="R39" s="1" t="s">
        <v>70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55"/>
      <c r="M40" s="118"/>
      <c r="N40" s="112"/>
      <c r="O40" s="23">
        <f t="shared" si="1"/>
        <v>0</v>
      </c>
      <c r="R40" s="1" t="s">
        <v>70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55"/>
      <c r="M41" s="118"/>
      <c r="N41" s="112"/>
      <c r="O41" s="23">
        <f t="shared" si="1"/>
        <v>0</v>
      </c>
      <c r="R41" s="1" t="s">
        <v>70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55"/>
      <c r="M42" s="118"/>
      <c r="N42" s="112"/>
      <c r="O42" s="23">
        <f t="shared" si="1"/>
        <v>0</v>
      </c>
      <c r="R42" s="1" t="s">
        <v>70</v>
      </c>
    </row>
    <row r="43" spans="1:18" ht="51" customHeight="1" outlineLevel="1">
      <c r="A43" s="138" t="str">
        <f>ПТО!A2</f>
        <v>Очистка кровли от снега.</v>
      </c>
      <c r="B43" s="138"/>
      <c r="C43" s="138"/>
      <c r="D43" s="138"/>
      <c r="E43" s="138"/>
      <c r="F43" s="143">
        <f>VLOOKUP(A43,ПТО!$A$2:$D$31,4,FALSE)</f>
        <v>10350</v>
      </c>
      <c r="G43" s="143"/>
      <c r="H43" s="19" t="str">
        <f>VLOOKUP(A43,ПТО!$A$2:$D$31,2,FALSE)</f>
        <v>разово</v>
      </c>
      <c r="I43" s="139">
        <f>VLOOKUP(A43,ПТО!$A$2:$D$31,3,FALSE)</f>
        <v>1</v>
      </c>
      <c r="J43" s="139"/>
      <c r="K43" s="112"/>
      <c r="L43" s="155"/>
      <c r="M43" s="118"/>
      <c r="N43" s="112"/>
      <c r="O43" s="23" t="str">
        <f t="shared" si="1"/>
        <v>Очистка кровли от снега.</v>
      </c>
      <c r="R43" s="22" t="s">
        <v>71</v>
      </c>
    </row>
    <row r="44" spans="1:18" ht="51" customHeight="1" outlineLevel="1">
      <c r="A44" s="138" t="str">
        <f>ПТО!A3</f>
        <v>Механизированная уборка и вывоз снега с придомовой территории.</v>
      </c>
      <c r="B44" s="138"/>
      <c r="C44" s="138"/>
      <c r="D44" s="138"/>
      <c r="E44" s="138"/>
      <c r="F44" s="143">
        <f>VLOOKUP(A44,ПТО!$A$2:$D$31,4,FALSE)</f>
        <v>25314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55"/>
      <c r="M44" s="118"/>
      <c r="N44" s="112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hidden="1" customHeight="1" outlineLevel="1">
      <c r="A45" s="138">
        <f>ПТО!A4</f>
        <v>0</v>
      </c>
      <c r="B45" s="138"/>
      <c r="C45" s="138"/>
      <c r="D45" s="138"/>
      <c r="E45" s="138"/>
      <c r="F45" s="143" t="e">
        <f>VLOOKUP(A45,ПТО!$A$2:$D$31,4,FALSE)</f>
        <v>#N/A</v>
      </c>
      <c r="G45" s="143"/>
      <c r="H45" s="25" t="e">
        <f>VLOOKUP(A45,ПТО!$A$2:$D$31,2,FALSE)</f>
        <v>#N/A</v>
      </c>
      <c r="I45" s="139" t="e">
        <f>VLOOKUP(A45,ПТО!$A$2:$D$31,3,FALSE)</f>
        <v>#N/A</v>
      </c>
      <c r="J45" s="139"/>
      <c r="K45" s="112"/>
      <c r="L45" s="155"/>
      <c r="M45" s="118"/>
      <c r="N45" s="112"/>
      <c r="O45" s="23">
        <f t="shared" si="1"/>
        <v>0</v>
      </c>
      <c r="R45" s="22" t="s">
        <v>71</v>
      </c>
    </row>
    <row r="46" spans="1:18" ht="51" hidden="1" customHeight="1" outlineLevel="1">
      <c r="A46" s="138">
        <f>ПТО!A5</f>
        <v>0</v>
      </c>
      <c r="B46" s="138"/>
      <c r="C46" s="138"/>
      <c r="D46" s="138"/>
      <c r="E46" s="138"/>
      <c r="F46" s="143" t="e">
        <f>VLOOKUP(A46,ПТО!$A$2:$D$31,4,FALSE)</f>
        <v>#N/A</v>
      </c>
      <c r="G46" s="143"/>
      <c r="H46" s="25" t="e">
        <f>VLOOKUP(A46,ПТО!$A$2:$D$31,2,FALSE)</f>
        <v>#N/A</v>
      </c>
      <c r="I46" s="139" t="e">
        <f>VLOOKUP(A46,ПТО!$A$2:$D$31,3,FALSE)</f>
        <v>#N/A</v>
      </c>
      <c r="J46" s="139"/>
      <c r="K46" s="112"/>
      <c r="L46" s="155"/>
      <c r="M46" s="118"/>
      <c r="N46" s="112"/>
      <c r="O46" s="23">
        <f t="shared" si="1"/>
        <v>0</v>
      </c>
      <c r="R46" s="22" t="s">
        <v>71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55"/>
      <c r="M47" s="118"/>
      <c r="N47" s="112"/>
      <c r="O47" s="23">
        <f t="shared" si="1"/>
        <v>0</v>
      </c>
      <c r="R47" s="22" t="s">
        <v>71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55"/>
      <c r="M48" s="118"/>
      <c r="N48" s="112"/>
      <c r="O48" s="23">
        <f t="shared" si="1"/>
        <v>0</v>
      </c>
      <c r="R48" s="22" t="s">
        <v>71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55"/>
      <c r="M49" s="118"/>
      <c r="N49" s="112"/>
      <c r="O49" s="23">
        <f t="shared" si="1"/>
        <v>0</v>
      </c>
      <c r="R49" s="22" t="s">
        <v>71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55"/>
      <c r="M50" s="118"/>
      <c r="N50" s="112"/>
      <c r="O50" s="23">
        <f t="shared" si="1"/>
        <v>0</v>
      </c>
      <c r="R50" s="22" t="s">
        <v>71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55"/>
      <c r="M51" s="118"/>
      <c r="N51" s="112"/>
      <c r="O51" s="23">
        <f t="shared" si="1"/>
        <v>0</v>
      </c>
      <c r="R51" s="22" t="s">
        <v>71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55"/>
      <c r="M52" s="118"/>
      <c r="N52" s="112"/>
      <c r="O52" s="23">
        <f t="shared" si="1"/>
        <v>0</v>
      </c>
      <c r="R52" s="22" t="s">
        <v>71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55"/>
      <c r="M53" s="118"/>
      <c r="N53" s="112"/>
      <c r="O53" s="23">
        <f t="shared" si="1"/>
        <v>0</v>
      </c>
      <c r="R53" s="22" t="s">
        <v>71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55"/>
      <c r="M54" s="118"/>
      <c r="N54" s="112"/>
      <c r="O54" s="23">
        <f t="shared" si="1"/>
        <v>0</v>
      </c>
      <c r="R54" s="22" t="s">
        <v>71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55"/>
      <c r="M55" s="118"/>
      <c r="N55" s="112"/>
      <c r="O55" s="23">
        <f t="shared" si="1"/>
        <v>0</v>
      </c>
      <c r="R55" s="22" t="s">
        <v>71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55"/>
      <c r="M56" s="118"/>
      <c r="N56" s="112"/>
      <c r="O56" s="23">
        <f t="shared" si="1"/>
        <v>0</v>
      </c>
      <c r="R56" s="22" t="s">
        <v>71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55"/>
      <c r="M57" s="118"/>
      <c r="N57" s="112"/>
      <c r="O57" s="23">
        <f t="shared" si="1"/>
        <v>0</v>
      </c>
      <c r="R57" s="22" t="s">
        <v>71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55"/>
      <c r="M58" s="118"/>
      <c r="N58" s="112"/>
      <c r="O58" s="23">
        <f t="shared" si="1"/>
        <v>0</v>
      </c>
      <c r="R58" s="22" t="s">
        <v>71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55"/>
      <c r="M59" s="118"/>
      <c r="N59" s="112"/>
      <c r="O59" s="23">
        <f t="shared" si="1"/>
        <v>0</v>
      </c>
      <c r="R59" s="22" t="s">
        <v>71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55"/>
      <c r="M60" s="118"/>
      <c r="N60" s="112"/>
      <c r="O60" s="23">
        <f t="shared" si="1"/>
        <v>0</v>
      </c>
      <c r="R60" s="22" t="s">
        <v>71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55"/>
      <c r="M61" s="118"/>
      <c r="N61" s="112"/>
      <c r="O61" s="23">
        <f t="shared" si="1"/>
        <v>0</v>
      </c>
      <c r="R61" s="22" t="s">
        <v>71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55"/>
      <c r="M62" s="118"/>
      <c r="N62" s="112"/>
      <c r="O62" s="23">
        <f t="shared" si="1"/>
        <v>0</v>
      </c>
      <c r="R62" s="22" t="s">
        <v>71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55"/>
      <c r="M63" s="118"/>
      <c r="N63" s="112"/>
      <c r="O63" s="23">
        <f t="shared" si="1"/>
        <v>0</v>
      </c>
      <c r="R63" s="22" t="s">
        <v>71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55"/>
      <c r="M64" s="118"/>
      <c r="N64" s="112"/>
      <c r="O64" s="23">
        <f t="shared" si="1"/>
        <v>0</v>
      </c>
      <c r="R64" s="22" t="s">
        <v>71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55"/>
      <c r="M65" s="118"/>
      <c r="N65" s="112"/>
      <c r="O65" s="23">
        <f t="shared" si="1"/>
        <v>0</v>
      </c>
      <c r="R65" s="22" t="s">
        <v>71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55"/>
      <c r="M66" s="118"/>
      <c r="N66" s="112"/>
      <c r="O66" s="23">
        <f t="shared" si="1"/>
        <v>0</v>
      </c>
      <c r="R66" s="22" t="s">
        <v>71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55"/>
      <c r="M67" s="118"/>
      <c r="N67" s="112"/>
      <c r="O67" s="23">
        <f t="shared" si="1"/>
        <v>0</v>
      </c>
      <c r="R67" s="22" t="s">
        <v>71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55"/>
      <c r="M68" s="118"/>
      <c r="N68" s="112"/>
      <c r="O68" s="23">
        <f t="shared" si="1"/>
        <v>0</v>
      </c>
      <c r="R68" s="22" t="s">
        <v>71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55"/>
      <c r="M69" s="118"/>
      <c r="N69" s="112"/>
      <c r="O69" s="23">
        <f t="shared" si="1"/>
        <v>0</v>
      </c>
      <c r="R69" s="22" t="s">
        <v>71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55"/>
      <c r="M70" s="118"/>
      <c r="N70" s="112"/>
      <c r="O70" s="23">
        <f t="shared" si="1"/>
        <v>0</v>
      </c>
      <c r="R70" s="22" t="s">
        <v>71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8"/>
      <c r="L71" s="155"/>
      <c r="M71" s="118"/>
      <c r="N71" s="118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55"/>
      <c r="M72" s="118"/>
      <c r="N72" s="112"/>
      <c r="O72" s="23">
        <f t="shared" si="1"/>
        <v>0</v>
      </c>
      <c r="R72" s="22" t="s">
        <v>71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6" t="s">
        <v>26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58"/>
      <c r="M75" s="112"/>
      <c r="N75" s="112"/>
      <c r="O75" s="72" t="s">
        <v>97</v>
      </c>
    </row>
    <row r="76" spans="1:16384" ht="18.75" customHeight="1" outlineLevel="1">
      <c r="A76" s="156" t="s">
        <v>27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58"/>
      <c r="M76" s="112"/>
      <c r="N76" s="112"/>
      <c r="O76" s="72" t="s">
        <v>98</v>
      </c>
    </row>
    <row r="77" spans="1:16384" ht="21.75" customHeight="1" outlineLevel="1">
      <c r="A77" s="156" t="s">
        <v>28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58"/>
      <c r="M77" s="112"/>
      <c r="N77" s="112"/>
      <c r="O77" s="72" t="s">
        <v>99</v>
      </c>
    </row>
    <row r="78" spans="1:16384" ht="18.75" customHeight="1" outlineLevel="1">
      <c r="A78" s="156" t="s">
        <v>29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58"/>
      <c r="M78" s="112"/>
      <c r="N78" s="112"/>
      <c r="O78" s="72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44"/>
      <c r="M81" s="112"/>
      <c r="N81" s="112"/>
      <c r="O81" s="72" t="s">
        <v>101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44"/>
      <c r="M82" s="112"/>
      <c r="N82" s="112"/>
      <c r="O82" s="72" t="s">
        <v>102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13746.4</v>
      </c>
      <c r="K83" s="112"/>
      <c r="L83" s="144"/>
      <c r="M83" s="112"/>
      <c r="N83" s="112"/>
      <c r="O83" s="72" t="s">
        <v>103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44"/>
      <c r="M84" s="112"/>
      <c r="N84" s="112"/>
      <c r="O84" s="72" t="s">
        <v>104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44"/>
      <c r="M85" s="112"/>
      <c r="N85" s="112"/>
      <c r="O85" s="72" t="s">
        <v>105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17773.59</v>
      </c>
      <c r="K86" s="112"/>
      <c r="L86" s="144"/>
      <c r="M86" s="112"/>
      <c r="N86" s="112"/>
      <c r="O86" s="72" t="s">
        <v>106</v>
      </c>
    </row>
    <row r="87" spans="1:15" ht="18.75" customHeight="1" outlineLevel="1">
      <c r="A87" s="150" t="s">
        <v>26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44"/>
      <c r="M87" s="112"/>
      <c r="N87" s="112"/>
      <c r="O87" s="72" t="s">
        <v>107</v>
      </c>
    </row>
    <row r="88" spans="1:15" ht="18.75" customHeight="1" outlineLevel="1">
      <c r="A88" s="150" t="s">
        <v>27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44"/>
      <c r="M88" s="112"/>
      <c r="N88" s="112"/>
      <c r="O88" s="72" t="s">
        <v>108</v>
      </c>
    </row>
    <row r="89" spans="1:15" ht="18.75" customHeight="1" outlineLevel="1">
      <c r="A89" s="150" t="s">
        <v>28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44"/>
      <c r="M89" s="112"/>
      <c r="N89" s="112"/>
      <c r="O89" s="72" t="s">
        <v>109</v>
      </c>
    </row>
    <row r="90" spans="1:15" ht="18.75" customHeight="1" outlineLevel="1">
      <c r="A90" s="150" t="s">
        <v>29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44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59" t="s">
        <v>47</v>
      </c>
      <c r="B93" s="159"/>
      <c r="C93" s="159"/>
      <c r="D93" s="160" t="s">
        <v>48</v>
      </c>
      <c r="E93" s="160"/>
      <c r="F93" s="10" t="s">
        <v>49</v>
      </c>
      <c r="G93" s="159" t="s">
        <v>50</v>
      </c>
      <c r="H93" s="159"/>
      <c r="I93" s="159"/>
      <c r="J93" s="159"/>
      <c r="K93" s="112"/>
      <c r="L93" s="112"/>
      <c r="M93" s="112"/>
      <c r="N93" s="112"/>
    </row>
    <row r="94" spans="1:15" hidden="1" outlineLevel="1">
      <c r="A94" s="140">
        <f>IF(VLOOKUP("эл",АО,3,FALSE)&gt;0,"Электроснабжение",0)</f>
        <v>0</v>
      </c>
      <c r="B94" s="140"/>
      <c r="C94" s="140"/>
      <c r="D94" s="141">
        <f>IF(VLOOKUP("эл",АО,3,FALSE)&gt;0,VLOOKUP("эл",АО,3,FALSE),0)</f>
        <v>0</v>
      </c>
      <c r="E94" s="141"/>
      <c r="F94" s="13">
        <f>IF(VLOOKUP("эл",АО,3,FALSE)&gt;0,VLOOKUP("эл",АО,4,FALSE),0)</f>
        <v>0</v>
      </c>
      <c r="G94" s="142">
        <f>VLOOKUP("эл",АО,5,FALSE)</f>
        <v>0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hidden="1" outlineLevel="2">
      <c r="A95" s="157">
        <f>IF(VLOOKUP("эл",АО,3,FALSE)&gt;0,VLOOKUP("эл1",АО,2,FALSE),0)</f>
        <v>0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0</v>
      </c>
      <c r="L95" s="145"/>
      <c r="O95" s="1" t="s">
        <v>111</v>
      </c>
    </row>
    <row r="96" spans="1:15" hidden="1" outlineLevel="2">
      <c r="A96" s="157">
        <f>IF(VLOOKUP("эл",АО,3,FALSE)&gt;0,VLOOKUP("эл2",АО,2,FALSE),0)</f>
        <v>0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0</v>
      </c>
      <c r="L96" s="145"/>
      <c r="O96" s="1" t="s">
        <v>112</v>
      </c>
    </row>
    <row r="97" spans="1:15" hidden="1" outlineLevel="2">
      <c r="A97" s="157">
        <f>IF(VLOOKUP("эл",АО,3,FALSE)&gt;0,VLOOKUP("эл3",АО,2,FALSE),0)</f>
        <v>0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45"/>
      <c r="O97" s="1" t="s">
        <v>113</v>
      </c>
    </row>
    <row r="98" spans="1:15" ht="37.5" hidden="1" customHeight="1" outlineLevel="2">
      <c r="A98" s="157">
        <f>IF(VLOOKUP("эл",АО,3,FALSE)&gt;0,VLOOKUP("эл4",АО,2,FALSE),0)</f>
        <v>0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0</v>
      </c>
      <c r="L98" s="145"/>
      <c r="O98" s="1" t="s">
        <v>114</v>
      </c>
    </row>
    <row r="99" spans="1:15" hidden="1" outlineLevel="2">
      <c r="A99" s="157">
        <f>IF(VLOOKUP("эл",АО,3,FALSE)&gt;0,VLOOKUP("эл5",АО,2,FALSE),0)</f>
        <v>0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0</v>
      </c>
      <c r="L99" s="145"/>
      <c r="O99" s="1" t="s">
        <v>115</v>
      </c>
    </row>
    <row r="100" spans="1:15" ht="39" hidden="1" customHeight="1" outlineLevel="2">
      <c r="A100" s="157">
        <f>IF(VLOOKUP("эл",АО,3,FALSE)&gt;0,VLOOKUP("эл6",АО,2,FALSE),0)</f>
        <v>0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116</v>
      </c>
    </row>
    <row r="101" spans="1:15" ht="34.5" hidden="1" customHeight="1" outlineLevel="2">
      <c r="A101" s="157">
        <f>IF(VLOOKUP("эл",АО,3,FALSE)&gt;0,VLOOKUP("эл7",АО,2,FALSE),0)</f>
        <v>0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117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40669.14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2791.29</v>
      </c>
      <c r="L103" s="145"/>
      <c r="O103" s="1" t="s">
        <v>120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37575.199999999997</v>
      </c>
      <c r="L104" s="145"/>
      <c r="O104" s="1" t="s">
        <v>121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3093.9400000000023</v>
      </c>
      <c r="L105" s="145"/>
      <c r="O105" s="1" t="s">
        <v>122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40669.14</v>
      </c>
      <c r="L106" s="145"/>
      <c r="O106" s="1" t="s">
        <v>123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40669.14</v>
      </c>
      <c r="L107" s="145"/>
      <c r="O107" s="1" t="s">
        <v>124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125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126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47864.38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2702.68</v>
      </c>
      <c r="L111" s="145"/>
      <c r="O111" s="1" t="s">
        <v>128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46461.97</v>
      </c>
      <c r="L112" s="145"/>
      <c r="O112" s="1" t="s">
        <v>129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1402.4099999999962</v>
      </c>
      <c r="L113" s="145"/>
      <c r="O113" s="1" t="s">
        <v>130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47864.38</v>
      </c>
      <c r="L114" s="145"/>
      <c r="O114" s="1" t="s">
        <v>131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47864.38</v>
      </c>
      <c r="L115" s="145"/>
      <c r="O115" s="1" t="s">
        <v>132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133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134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29734.32</v>
      </c>
      <c r="H118" s="141"/>
      <c r="I118" s="141"/>
      <c r="J118" s="141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55.02</v>
      </c>
      <c r="L119" s="49"/>
      <c r="O119" s="1" t="s">
        <v>136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30203.48</v>
      </c>
      <c r="L120" s="49"/>
      <c r="O120" s="1" t="s">
        <v>137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0</v>
      </c>
      <c r="L121" s="49"/>
      <c r="O121" s="1" t="s">
        <v>138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29734.32</v>
      </c>
      <c r="L122" s="49"/>
      <c r="O122" s="1" t="s">
        <v>139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29734.32</v>
      </c>
      <c r="L123" s="49"/>
      <c r="O123" s="1" t="s">
        <v>140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141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142</v>
      </c>
    </row>
    <row r="126" spans="1:15" ht="32.25" hidden="1" customHeight="1" outlineLevel="1">
      <c r="A126" s="140">
        <f>IF(VLOOKUP("гвс",АО,3,FALSE)&gt;0,"Горячее водоснабжение",0)</f>
        <v>0</v>
      </c>
      <c r="B126" s="140"/>
      <c r="C126" s="140"/>
      <c r="D126" s="141">
        <f>IF(VLOOKUP("гвс",АО,3,FALSE)&gt;0,VLOOKUP("гвс",АО,3,FALSE),0)</f>
        <v>0</v>
      </c>
      <c r="E126" s="141"/>
      <c r="F126" s="13">
        <f>IF(VLOOKUP("гвс",АО,3,FALSE)&gt;0,VLOOKUP("гвс",АО,4,FALSE),0)</f>
        <v>0</v>
      </c>
      <c r="G126" s="142">
        <f>VLOOKUP("гвс",АО,5,FALSE)</f>
        <v>0</v>
      </c>
      <c r="H126" s="141"/>
      <c r="I126" s="141"/>
      <c r="J126" s="141"/>
      <c r="L126" s="49"/>
    </row>
    <row r="127" spans="1:15" ht="32.25" hidden="1" customHeight="1" outlineLevel="2">
      <c r="A127" s="136">
        <f t="shared" ref="A127:A133" si="10">IF(VLOOKUP("гвс",АО,3,FALSE)&gt;0,VLOOKUP(O127,АО,2,FALSE),0)</f>
        <v>0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0</v>
      </c>
      <c r="L127" s="49"/>
      <c r="O127" s="1" t="s">
        <v>144</v>
      </c>
    </row>
    <row r="128" spans="1:15" ht="32.25" hidden="1" customHeight="1" outlineLevel="2">
      <c r="A128" s="136">
        <f t="shared" si="10"/>
        <v>0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0</v>
      </c>
      <c r="L128" s="49"/>
      <c r="O128" s="1" t="s">
        <v>145</v>
      </c>
    </row>
    <row r="129" spans="1:15" ht="32.25" hidden="1" customHeight="1" outlineLevel="2">
      <c r="A129" s="136">
        <f t="shared" si="10"/>
        <v>0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0</v>
      </c>
      <c r="L129" s="49"/>
      <c r="O129" s="1" t="s">
        <v>146</v>
      </c>
    </row>
    <row r="130" spans="1:15" ht="32.25" hidden="1" customHeight="1" outlineLevel="2">
      <c r="A130" s="136">
        <f t="shared" si="10"/>
        <v>0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0</v>
      </c>
      <c r="L130" s="49"/>
      <c r="O130" s="1" t="s">
        <v>147</v>
      </c>
    </row>
    <row r="131" spans="1:15" ht="32.25" hidden="1" customHeight="1" outlineLevel="2">
      <c r="A131" s="136">
        <f t="shared" si="10"/>
        <v>0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0</v>
      </c>
      <c r="L131" s="49"/>
      <c r="O131" s="1" t="s">
        <v>148</v>
      </c>
    </row>
    <row r="132" spans="1:15" ht="32.25" hidden="1" customHeight="1" outlineLevel="2">
      <c r="A132" s="136">
        <f t="shared" si="10"/>
        <v>0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149</v>
      </c>
    </row>
    <row r="133" spans="1:15" ht="32.25" hidden="1" customHeight="1" outlineLevel="2">
      <c r="A133" s="136">
        <f t="shared" si="10"/>
        <v>0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158</v>
      </c>
    </row>
    <row r="143" spans="1:15">
      <c r="A143" s="11" t="s">
        <v>43</v>
      </c>
    </row>
    <row r="144" spans="1:15" ht="18.75" customHeight="1" outlineLevel="1">
      <c r="A144" s="136" t="s">
        <v>44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0</v>
      </c>
      <c r="O144" t="s">
        <v>168</v>
      </c>
    </row>
    <row r="145" spans="1:15" ht="18.75" customHeight="1" outlineLevel="1">
      <c r="A145" s="136" t="s">
        <v>45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6</v>
      </c>
      <c r="L145" s="15"/>
      <c r="O145" t="s">
        <v>169</v>
      </c>
    </row>
    <row r="146" spans="1:15" ht="30" customHeight="1" outlineLevel="1">
      <c r="A146" s="136" t="s">
        <v>171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77567.899999999994</v>
      </c>
      <c r="O146" t="s">
        <v>170</v>
      </c>
    </row>
    <row r="149" spans="1:15" ht="52.5" customHeight="1">
      <c r="A149" s="161" t="s">
        <v>176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177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63" t="s">
        <v>185</v>
      </c>
      <c r="B154" s="163"/>
      <c r="C154" s="163"/>
      <c r="D154" s="163"/>
      <c r="E154" s="27">
        <f>ПТО!G1</f>
        <v>-90958.7</v>
      </c>
    </row>
    <row r="155" spans="1:15" ht="34.5" customHeight="1">
      <c r="A155" s="162" t="s">
        <v>184</v>
      </c>
      <c r="B155" s="162"/>
      <c r="C155" s="162"/>
      <c r="D155" s="162"/>
      <c r="E155" s="28">
        <f>J13</f>
        <v>42588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Очистка кровли от снега.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10350</v>
      </c>
      <c r="G158" s="143"/>
      <c r="H158" s="24" t="str">
        <f t="shared" ref="H158:H187" si="16">VLOOKUP(A158,$A$28:$J$72,8,FALSE)</f>
        <v>разово</v>
      </c>
      <c r="I158" s="139">
        <f t="shared" ref="I158:I161" si="17">VLOOKUP(A158,$A$28:$J$72,9,FALSE)</f>
        <v>1</v>
      </c>
      <c r="J158" s="139"/>
      <c r="M158" s="22" t="s">
        <v>71</v>
      </c>
      <c r="N158" s="1" t="str">
        <f t="array" ref="N158:N187">INDEX($O$43:$O$72,SMALL(IF($M$158=R43:R72,ROW(O43:O72)-42,""),ROW()-157))</f>
        <v>Очистка кровли от снега.</v>
      </c>
    </row>
    <row r="159" spans="1:15" ht="28.5" customHeight="1">
      <c r="A159" s="138" t="str">
        <f t="shared" si="14"/>
        <v>Механизированная уборка и вывоз снега с придомовой территории.</v>
      </c>
      <c r="B159" s="138"/>
      <c r="C159" s="138"/>
      <c r="D159" s="138"/>
      <c r="E159" s="138"/>
      <c r="F159" s="143">
        <f t="shared" si="15"/>
        <v>25314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hidden="1" customHeight="1">
      <c r="A160" s="138">
        <f t="shared" si="14"/>
        <v>0</v>
      </c>
      <c r="B160" s="138"/>
      <c r="C160" s="138"/>
      <c r="D160" s="138"/>
      <c r="E160" s="138"/>
      <c r="F160" s="143">
        <f t="shared" si="15"/>
        <v>0</v>
      </c>
      <c r="G160" s="143"/>
      <c r="H160" s="24" t="e">
        <f t="shared" si="16"/>
        <v>#N/A</v>
      </c>
      <c r="I160" s="139" t="e">
        <f t="shared" si="17"/>
        <v>#N/A</v>
      </c>
      <c r="J160" s="139"/>
      <c r="M160" s="22" t="s">
        <v>71</v>
      </c>
      <c r="N160" s="1">
        <v>0</v>
      </c>
    </row>
    <row r="161" spans="1:14" ht="28.5" hidden="1" customHeight="1">
      <c r="A161" s="138">
        <f>IF(N161&gt;0,N161,0)</f>
        <v>0</v>
      </c>
      <c r="B161" s="138"/>
      <c r="C161" s="138"/>
      <c r="D161" s="138"/>
      <c r="E161" s="138"/>
      <c r="F161" s="143">
        <f t="shared" si="15"/>
        <v>0</v>
      </c>
      <c r="G161" s="143"/>
      <c r="H161" s="24" t="e">
        <f t="shared" si="16"/>
        <v>#N/A</v>
      </c>
      <c r="I161" s="139" t="e">
        <f t="shared" si="17"/>
        <v>#N/A</v>
      </c>
      <c r="J161" s="139"/>
      <c r="M161" s="22" t="s">
        <v>71</v>
      </c>
      <c r="N161" s="1">
        <v>0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71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71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71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71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71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71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71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71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71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71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71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71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71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71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71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71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71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71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71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71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71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71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71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71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71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71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63" t="s">
        <v>183</v>
      </c>
      <c r="B190" s="163"/>
      <c r="C190" s="163"/>
      <c r="D190" s="163"/>
      <c r="E190" s="27">
        <f>SUM(F158:G187)</f>
        <v>35664</v>
      </c>
    </row>
    <row r="191" spans="1:14" ht="51.75" customHeight="1">
      <c r="A191" s="163" t="s">
        <v>182</v>
      </c>
      <c r="B191" s="163"/>
      <c r="C191" s="163"/>
      <c r="D191" s="163"/>
      <c r="E191" s="27">
        <f>E190+E154-E155</f>
        <v>-97882.7</v>
      </c>
    </row>
    <row r="192" spans="1:14">
      <c r="A192" s="107" t="s">
        <v>172</v>
      </c>
    </row>
    <row r="193" spans="1:10" ht="62.25" customHeight="1">
      <c r="A193" s="137" t="s">
        <v>181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1">
        <f>ПТО!G12</f>
        <v>1200</v>
      </c>
      <c r="I194" s="52" t="s">
        <v>73</v>
      </c>
    </row>
    <row r="195" spans="1:10" ht="18.75" customHeight="1">
      <c r="A195" s="135" t="str">
        <f>ПТО!F13</f>
        <v xml:space="preserve">  -  механизированная уборка и вывоз снега с придомовой территории</v>
      </c>
      <c r="B195" s="135"/>
      <c r="C195" s="135"/>
      <c r="D195" s="135"/>
      <c r="E195" s="135"/>
      <c r="F195" s="135"/>
      <c r="G195" s="135"/>
      <c r="H195" s="51">
        <f>ПТО!G13</f>
        <v>25000</v>
      </c>
      <c r="I195" s="52" t="s">
        <v>73</v>
      </c>
    </row>
    <row r="196" spans="1:10" ht="18.75" customHeight="1">
      <c r="A196" s="135" t="str">
        <f>ПТО!F14</f>
        <v xml:space="preserve">  -  очистка кровли от снега</v>
      </c>
      <c r="B196" s="135"/>
      <c r="C196" s="135"/>
      <c r="D196" s="135"/>
      <c r="E196" s="135"/>
      <c r="F196" s="135"/>
      <c r="G196" s="135"/>
      <c r="H196" s="51">
        <f>ПТО!G14</f>
        <v>11500</v>
      </c>
      <c r="I196" s="52" t="s">
        <v>73</v>
      </c>
    </row>
    <row r="197" spans="1:10" ht="37.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51">
        <f>ПТО!G15</f>
        <v>0</v>
      </c>
      <c r="I197" s="52" t="s">
        <v>73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1">
        <f>ПТО!G16</f>
        <v>0</v>
      </c>
      <c r="I198" s="54" t="s">
        <v>73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1">
        <f>ПТО!G17</f>
        <v>0</v>
      </c>
      <c r="I199" s="52" t="s">
        <v>73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1">
        <f>ПТО!G18</f>
        <v>0</v>
      </c>
      <c r="I200" s="52" t="s">
        <v>73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1">
        <f>ПТО!G19</f>
        <v>0</v>
      </c>
      <c r="I201" s="52" t="s">
        <v>73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1">
        <f>ПТО!G20</f>
        <v>0</v>
      </c>
      <c r="I202" s="52" t="s">
        <v>73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1">
        <f>ПТО!G21</f>
        <v>0</v>
      </c>
      <c r="I203" s="52" t="s">
        <v>73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1">
        <f>ПТО!G22</f>
        <v>0</v>
      </c>
      <c r="I204" s="52" t="s">
        <v>73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1">
        <f>ПТО!G23</f>
        <v>0</v>
      </c>
      <c r="I205" s="52" t="s">
        <v>73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1">
        <f>ПТО!G24</f>
        <v>0</v>
      </c>
      <c r="I206" s="52" t="s">
        <v>73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1">
        <f>ПТО!G25</f>
        <v>0</v>
      </c>
      <c r="I207" s="52" t="s">
        <v>73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1">
        <f>ПТО!G26</f>
        <v>0</v>
      </c>
      <c r="I208" s="52" t="s">
        <v>73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1">
        <f>ПТО!G27</f>
        <v>0</v>
      </c>
      <c r="I209" s="52" t="s">
        <v>73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1">
        <f>ПТО!G28</f>
        <v>0</v>
      </c>
      <c r="I210" s="52" t="s">
        <v>73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1">
        <f>ПТО!G29</f>
        <v>0</v>
      </c>
      <c r="I211" s="52" t="s">
        <v>73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1">
        <f>ПТО!G30</f>
        <v>0</v>
      </c>
      <c r="I212" s="52" t="s">
        <v>73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37700</v>
      </c>
      <c r="I214" s="58" t="s">
        <v>75</v>
      </c>
    </row>
  </sheetData>
  <sheetProtection algorithmName="SHA-512" hashValue="I0cejFZ7Ii9D9jIrFBoi7bvMj66Q+VbbtGO/ced86oD9TUY8A76qTZgjCWHWhJ7p5lffzutBqCNf5cGngmCarw==" saltValue="2PrCoZOFEYw4ejz/+7Edn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9" sqref="A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185</v>
      </c>
      <c r="G1" s="104">
        <f>-90958.7</f>
        <v>-90958.7</v>
      </c>
    </row>
    <row r="2" spans="1:12" ht="18.75" customHeight="1">
      <c r="A2" s="120" t="s">
        <v>186</v>
      </c>
      <c r="B2" s="121" t="s">
        <v>179</v>
      </c>
      <c r="C2" s="122">
        <v>1</v>
      </c>
      <c r="D2" s="123">
        <v>10350</v>
      </c>
      <c r="E2" s="124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178</v>
      </c>
      <c r="B3" s="133" t="s">
        <v>179</v>
      </c>
      <c r="C3" s="134">
        <v>1</v>
      </c>
      <c r="D3" s="48">
        <v>25314</v>
      </c>
      <c r="E3" s="124" t="s">
        <v>188</v>
      </c>
      <c r="F3" s="30"/>
      <c r="G3" s="30"/>
      <c r="L3" s="33" t="str">
        <f t="shared" si="0"/>
        <v>ТР</v>
      </c>
    </row>
    <row r="4" spans="1:12" ht="18.75" customHeight="1">
      <c r="A4" s="46"/>
      <c r="B4" s="125"/>
      <c r="C4" s="43"/>
      <c r="D4" s="48"/>
      <c r="E4" s="46"/>
      <c r="F4" s="30"/>
      <c r="G4" s="30"/>
      <c r="L4" s="33">
        <f t="shared" si="0"/>
        <v>0</v>
      </c>
    </row>
    <row r="5" spans="1:12" ht="18.75" customHeight="1">
      <c r="A5" s="46"/>
      <c r="B5" s="125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181</v>
      </c>
      <c r="G11" s="114"/>
      <c r="L11" s="33">
        <f t="shared" si="0"/>
        <v>0</v>
      </c>
    </row>
    <row r="12" spans="1:12" ht="31.5">
      <c r="A12" s="30"/>
      <c r="F12" s="115" t="s">
        <v>72</v>
      </c>
      <c r="G12" s="116">
        <v>1200</v>
      </c>
      <c r="L12" s="33">
        <f t="shared" si="0"/>
        <v>0</v>
      </c>
    </row>
    <row r="13" spans="1:12" ht="31.5">
      <c r="A13" s="30"/>
      <c r="F13" s="115" t="s">
        <v>180</v>
      </c>
      <c r="G13" s="131">
        <v>25000</v>
      </c>
      <c r="L13" s="33">
        <f t="shared" si="0"/>
        <v>0</v>
      </c>
    </row>
    <row r="14" spans="1:12" ht="15.75">
      <c r="A14" s="30"/>
      <c r="F14" s="126" t="s">
        <v>189</v>
      </c>
      <c r="G14" s="127">
        <v>11500</v>
      </c>
      <c r="L14" s="33">
        <f t="shared" si="0"/>
        <v>0</v>
      </c>
    </row>
    <row r="15" spans="1:12" ht="15.75">
      <c r="A15" s="30"/>
      <c r="F15" s="115"/>
      <c r="G15" s="131"/>
      <c r="L15" s="33">
        <f t="shared" si="0"/>
        <v>0</v>
      </c>
    </row>
    <row r="16" spans="1:12" ht="15.75">
      <c r="A16" s="30"/>
      <c r="F16" s="115"/>
      <c r="G16" s="116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39161.760000000002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39161.760000000002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25</v>
      </c>
      <c r="B41" s="38">
        <v>12776.4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12776.4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10221.120000000001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10221.120000000001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2981.16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2981.16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12776.4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12776.4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42588</v>
      </c>
      <c r="C46" s="38" t="s">
        <v>67</v>
      </c>
      <c r="D46" s="50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42588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8"/>
      <c r="C47" s="129"/>
      <c r="D47" s="50"/>
      <c r="E47" s="128">
        <v>182.9</v>
      </c>
      <c r="F47" s="128">
        <v>78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6MSExyRh+pjo/6i9hPDwDK3ks+rRbmT00c6uwz+ZlZMUG/U37SZXZTlLlnfuiXxTc+pfxHiRHT46yGeLwz6lnQ==" saltValue="GY9hXFtyUgb2khJNKnzZ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2" sqref="C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175</v>
      </c>
      <c r="F1" s="62">
        <v>709.8</v>
      </c>
    </row>
    <row r="2" spans="1:10" ht="15.75" customHeight="1">
      <c r="A2" s="72" t="s">
        <v>80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81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3</v>
      </c>
      <c r="C4" s="85">
        <v>174558.13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4</v>
      </c>
      <c r="C5" s="81">
        <f>SUM(C6:C8)</f>
        <v>159724.99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5</v>
      </c>
      <c r="C6" s="85">
        <v>117136.99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6</v>
      </c>
      <c r="C7" s="85">
        <f>F1*5*12</f>
        <v>42588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8</v>
      </c>
      <c r="C9" s="81">
        <f>SUM(C10:C14)</f>
        <v>145738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9</v>
      </c>
      <c r="C10" s="85">
        <v>145738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14</v>
      </c>
      <c r="C15" s="81">
        <f>C9</f>
        <v>145738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17</v>
      </c>
      <c r="C18" s="81">
        <f>IF(C16&gt;0,0,IF(C4&gt;0,C4+C5-C9,C5-C2-C9))</f>
        <v>188545.12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98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99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100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160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102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103</v>
      </c>
      <c r="B27" s="77" t="s">
        <v>3</v>
      </c>
      <c r="C27" s="88">
        <v>13746.4</v>
      </c>
      <c r="D27" s="83" t="s">
        <v>59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104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105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106</v>
      </c>
      <c r="B30" s="77" t="s">
        <v>17</v>
      </c>
      <c r="C30" s="88">
        <v>17773.59</v>
      </c>
      <c r="D30" s="83" t="s">
        <v>65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107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108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109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110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161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52</v>
      </c>
      <c r="C37" s="98">
        <f>IF(E37&gt;0,"Предоставляется",0)</f>
        <v>0</v>
      </c>
      <c r="D37" s="98" t="s">
        <v>51</v>
      </c>
      <c r="E37" s="97"/>
      <c r="F37" s="96" t="s">
        <v>165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111</v>
      </c>
      <c r="B38" s="80" t="s">
        <v>36</v>
      </c>
      <c r="C38" s="92"/>
      <c r="D38" s="96" t="s">
        <v>163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112</v>
      </c>
      <c r="B39" s="80" t="s">
        <v>37</v>
      </c>
      <c r="C39" s="93"/>
      <c r="D39" s="96" t="s">
        <v>164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113</v>
      </c>
      <c r="B40" s="80" t="s">
        <v>38</v>
      </c>
      <c r="C40" s="95">
        <f>IF(E37-C39&lt;0,0,E37-C39)</f>
        <v>0</v>
      </c>
      <c r="D40" s="82" t="s">
        <v>58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114</v>
      </c>
      <c r="B41" s="80" t="s">
        <v>39</v>
      </c>
      <c r="C41" s="95">
        <f>E37</f>
        <v>0</v>
      </c>
      <c r="D41" s="82" t="s">
        <v>58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115</v>
      </c>
      <c r="B42" s="80" t="s">
        <v>40</v>
      </c>
      <c r="C42" s="95">
        <f>E37</f>
        <v>0</v>
      </c>
      <c r="D42" s="82" t="s">
        <v>58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116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117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119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40669.14</v>
      </c>
      <c r="F45" s="96" t="s">
        <v>165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120</v>
      </c>
      <c r="B46" s="80" t="s">
        <v>36</v>
      </c>
      <c r="C46" s="92">
        <v>2791.29</v>
      </c>
      <c r="D46" s="96" t="s">
        <v>166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121</v>
      </c>
      <c r="B47" s="80" t="s">
        <v>37</v>
      </c>
      <c r="C47" s="93">
        <v>37575.199999999997</v>
      </c>
      <c r="D47" s="96" t="s">
        <v>164</v>
      </c>
      <c r="E47" s="130"/>
      <c r="G47" s="69"/>
      <c r="H47" s="69"/>
      <c r="L47" s="65"/>
      <c r="M47" s="164"/>
      <c r="N47" s="65"/>
      <c r="O47" s="65"/>
    </row>
    <row r="48" spans="1:15" ht="18.75" customHeight="1">
      <c r="A48" s="75" t="s">
        <v>122</v>
      </c>
      <c r="B48" s="80" t="s">
        <v>38</v>
      </c>
      <c r="C48" s="95">
        <f>IF(E45-C47&lt;0,0,E45-C47)</f>
        <v>3093.9400000000023</v>
      </c>
      <c r="D48" s="82" t="s">
        <v>58</v>
      </c>
      <c r="E48" s="130"/>
      <c r="G48" s="69"/>
      <c r="H48" s="69"/>
      <c r="L48" s="65"/>
      <c r="M48" s="164"/>
      <c r="N48" s="65"/>
      <c r="O48" s="65"/>
    </row>
    <row r="49" spans="1:15" ht="18.75" customHeight="1">
      <c r="A49" s="75" t="s">
        <v>123</v>
      </c>
      <c r="B49" s="80" t="s">
        <v>39</v>
      </c>
      <c r="C49" s="95">
        <f>E45</f>
        <v>40669.14</v>
      </c>
      <c r="D49" s="82" t="s">
        <v>58</v>
      </c>
      <c r="E49" s="130"/>
      <c r="G49" s="69"/>
      <c r="H49" s="69"/>
      <c r="L49" s="65"/>
      <c r="M49" s="164"/>
      <c r="N49" s="65"/>
      <c r="O49" s="65"/>
    </row>
    <row r="50" spans="1:15" ht="18.75" customHeight="1">
      <c r="A50" s="75" t="s">
        <v>124</v>
      </c>
      <c r="B50" s="80" t="s">
        <v>40</v>
      </c>
      <c r="C50" s="95">
        <f>E45</f>
        <v>40669.14</v>
      </c>
      <c r="D50" s="82" t="s">
        <v>58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125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126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127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47864.38</v>
      </c>
      <c r="F53" s="96" t="s">
        <v>165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128</v>
      </c>
      <c r="B54" s="77" t="s">
        <v>36</v>
      </c>
      <c r="C54" s="101">
        <v>2702.68</v>
      </c>
      <c r="D54" s="96" t="s">
        <v>166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129</v>
      </c>
      <c r="B55" s="77" t="s">
        <v>37</v>
      </c>
      <c r="C55" s="88">
        <v>46461.97</v>
      </c>
      <c r="D55" s="96" t="s">
        <v>164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130</v>
      </c>
      <c r="B56" s="77" t="s">
        <v>38</v>
      </c>
      <c r="C56" s="95">
        <f>IF(E53-C55&lt;0,0,E53-C55)</f>
        <v>1402.4099999999962</v>
      </c>
      <c r="D56" s="82" t="s">
        <v>58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131</v>
      </c>
      <c r="B57" s="77" t="s">
        <v>39</v>
      </c>
      <c r="C57" s="95">
        <f>E53</f>
        <v>47864.38</v>
      </c>
      <c r="D57" s="82" t="s">
        <v>58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132</v>
      </c>
      <c r="B58" s="77" t="s">
        <v>40</v>
      </c>
      <c r="C58" s="95">
        <f>E53</f>
        <v>47864.38</v>
      </c>
      <c r="D58" s="82" t="s">
        <v>58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133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134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135</v>
      </c>
      <c r="B61" s="79" t="s">
        <v>76</v>
      </c>
      <c r="C61" s="98" t="str">
        <f>IF(E61&gt;0,"Предоставляется",0)</f>
        <v>Предоставляется</v>
      </c>
      <c r="D61" s="98" t="s">
        <v>54</v>
      </c>
      <c r="E61" s="97">
        <v>29734.32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36</v>
      </c>
      <c r="C62" s="101">
        <v>55.02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37</v>
      </c>
      <c r="C63" s="88">
        <v>30203.48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38</v>
      </c>
      <c r="C64" s="95">
        <f>IF(E61-C63&lt;0,0,E61-C63)</f>
        <v>0</v>
      </c>
      <c r="D64" s="82" t="s">
        <v>58</v>
      </c>
      <c r="E64" s="71"/>
      <c r="G64" s="66"/>
      <c r="H64" s="66"/>
    </row>
    <row r="65" spans="1:8" ht="15.75" customHeight="1">
      <c r="A65" s="75" t="s">
        <v>139</v>
      </c>
      <c r="B65" s="77" t="s">
        <v>39</v>
      </c>
      <c r="C65" s="95">
        <f>E61</f>
        <v>29734.32</v>
      </c>
      <c r="D65" s="82" t="s">
        <v>58</v>
      </c>
      <c r="E65" s="71"/>
      <c r="G65" s="66"/>
      <c r="H65" s="66"/>
    </row>
    <row r="66" spans="1:8" ht="15.75" customHeight="1">
      <c r="A66" s="75" t="s">
        <v>140</v>
      </c>
      <c r="B66" s="77" t="s">
        <v>40</v>
      </c>
      <c r="C66" s="95">
        <f>E61</f>
        <v>29734.32</v>
      </c>
      <c r="D66" s="82" t="s">
        <v>58</v>
      </c>
      <c r="E66" s="71"/>
      <c r="G66" s="66"/>
      <c r="H66" s="66"/>
    </row>
    <row r="67" spans="1:8" ht="15.75" customHeight="1">
      <c r="A67" s="75" t="s">
        <v>141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142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>
        <f>IF(E69&gt;0,"Предоставляется",0)</f>
        <v>0</v>
      </c>
      <c r="D69" s="98" t="s">
        <v>54</v>
      </c>
      <c r="E69" s="97"/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36</v>
      </c>
      <c r="C70" s="101"/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37</v>
      </c>
      <c r="C71" s="88"/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38</v>
      </c>
      <c r="C72" s="95">
        <f>IF(E69-C71&lt;0,0,E69-C71)</f>
        <v>0</v>
      </c>
      <c r="D72" s="82" t="s">
        <v>58</v>
      </c>
      <c r="E72" s="71"/>
      <c r="G72" s="66"/>
      <c r="H72" s="66"/>
    </row>
    <row r="73" spans="1:8" ht="15.75" customHeight="1">
      <c r="A73" s="75" t="s">
        <v>147</v>
      </c>
      <c r="B73" s="77" t="s">
        <v>39</v>
      </c>
      <c r="C73" s="95">
        <f>E69</f>
        <v>0</v>
      </c>
      <c r="D73" s="82" t="s">
        <v>58</v>
      </c>
      <c r="E73" s="71"/>
      <c r="G73" s="66"/>
      <c r="H73" s="66"/>
    </row>
    <row r="74" spans="1:8" ht="15.75" customHeight="1">
      <c r="A74" s="75" t="s">
        <v>148</v>
      </c>
      <c r="B74" s="77" t="s">
        <v>40</v>
      </c>
      <c r="C74" s="95">
        <f>E69</f>
        <v>0</v>
      </c>
      <c r="D74" s="82" t="s">
        <v>58</v>
      </c>
      <c r="E74" s="71"/>
      <c r="G74" s="66"/>
      <c r="H74" s="66"/>
    </row>
    <row r="75" spans="1:8" ht="15.75" customHeight="1">
      <c r="A75" s="75" t="s">
        <v>149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150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/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36</v>
      </c>
      <c r="C78" s="101"/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37</v>
      </c>
      <c r="C79" s="88"/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155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156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157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158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44</v>
      </c>
      <c r="C2" s="108"/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45</v>
      </c>
      <c r="C3" s="108">
        <v>6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46</v>
      </c>
      <c r="C4" s="109">
        <v>77567.899999999994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2024-03-28T05:29:49Z</dcterms:modified>
</cp:coreProperties>
</file>