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0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Отчет!$A$1:$J$255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C30" i="3" l="1"/>
  <c r="C6" i="3"/>
  <c r="C8" i="3"/>
  <c r="G1" i="2" l="1"/>
  <c r="C7" i="3" l="1"/>
  <c r="D3" i="2"/>
  <c r="A92" i="1" l="1"/>
  <c r="I92" i="1" s="1"/>
  <c r="A91" i="1"/>
  <c r="H91" i="1" s="1"/>
  <c r="A90" i="1"/>
  <c r="F90" i="1" s="1"/>
  <c r="A89" i="1"/>
  <c r="F89" i="1" s="1"/>
  <c r="A88" i="1"/>
  <c r="I88" i="1" s="1"/>
  <c r="A87" i="1"/>
  <c r="H87" i="1" s="1"/>
  <c r="A86" i="1"/>
  <c r="F86" i="1" s="1"/>
  <c r="A85" i="1"/>
  <c r="F85" i="1" s="1"/>
  <c r="A84" i="1"/>
  <c r="I84" i="1" s="1"/>
  <c r="A83" i="1"/>
  <c r="H83" i="1" s="1"/>
  <c r="A82" i="1"/>
  <c r="F82" i="1" s="1"/>
  <c r="A81" i="1"/>
  <c r="F81" i="1" s="1"/>
  <c r="A80" i="1"/>
  <c r="I80" i="1" s="1"/>
  <c r="A79" i="1"/>
  <c r="H79" i="1" s="1"/>
  <c r="A78" i="1"/>
  <c r="F78" i="1" s="1"/>
  <c r="A77" i="1"/>
  <c r="F77" i="1" s="1"/>
  <c r="A76" i="1"/>
  <c r="I76" i="1" s="1"/>
  <c r="A75" i="1"/>
  <c r="H75" i="1" s="1"/>
  <c r="A74" i="1"/>
  <c r="F74" i="1" s="1"/>
  <c r="A73" i="1"/>
  <c r="I73" i="1" s="1"/>
  <c r="N227" i="1"/>
  <c r="A227" i="1" s="1"/>
  <c r="N226" i="1"/>
  <c r="A226" i="1" s="1"/>
  <c r="N225" i="1"/>
  <c r="A225" i="1" s="1"/>
  <c r="N224" i="1"/>
  <c r="A224" i="1" s="1"/>
  <c r="N223" i="1"/>
  <c r="A223" i="1" s="1"/>
  <c r="N222" i="1"/>
  <c r="A222" i="1" s="1"/>
  <c r="N221" i="1"/>
  <c r="A221" i="1" s="1"/>
  <c r="N220" i="1"/>
  <c r="A220" i="1" s="1"/>
  <c r="N219" i="1"/>
  <c r="A219" i="1" s="1"/>
  <c r="N218" i="1"/>
  <c r="A218" i="1" s="1"/>
  <c r="N217" i="1"/>
  <c r="A217" i="1" s="1"/>
  <c r="N216" i="1"/>
  <c r="A216" i="1" s="1"/>
  <c r="N215" i="1"/>
  <c r="A215" i="1" s="1"/>
  <c r="N214" i="1"/>
  <c r="A214" i="1" s="1"/>
  <c r="N213" i="1"/>
  <c r="A213" i="1" s="1"/>
  <c r="N212" i="1"/>
  <c r="A212" i="1" s="1"/>
  <c r="N211" i="1"/>
  <c r="A211" i="1" s="1"/>
  <c r="N210" i="1"/>
  <c r="A210" i="1" s="1"/>
  <c r="N209" i="1"/>
  <c r="A209" i="1" s="1"/>
  <c r="N208" i="1"/>
  <c r="A208" i="1" s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H80" i="1" l="1"/>
  <c r="I81" i="1"/>
  <c r="I77" i="1"/>
  <c r="H84" i="1"/>
  <c r="H73" i="1"/>
  <c r="H88" i="1"/>
  <c r="I85" i="1"/>
  <c r="H76" i="1"/>
  <c r="H92" i="1"/>
  <c r="I89" i="1"/>
  <c r="F79" i="1"/>
  <c r="F76" i="1"/>
  <c r="F80" i="1"/>
  <c r="F84" i="1"/>
  <c r="F88" i="1"/>
  <c r="F92" i="1"/>
  <c r="H77" i="1"/>
  <c r="H81" i="1"/>
  <c r="H85" i="1"/>
  <c r="H89" i="1"/>
  <c r="I74" i="1"/>
  <c r="I78" i="1"/>
  <c r="I82" i="1"/>
  <c r="I86" i="1"/>
  <c r="I90" i="1"/>
  <c r="F75" i="1"/>
  <c r="F83" i="1"/>
  <c r="F87" i="1"/>
  <c r="F73" i="1"/>
  <c r="H74" i="1"/>
  <c r="H78" i="1"/>
  <c r="H82" i="1"/>
  <c r="H86" i="1"/>
  <c r="H90" i="1"/>
  <c r="I75" i="1"/>
  <c r="I79" i="1"/>
  <c r="I83" i="1"/>
  <c r="I87" i="1"/>
  <c r="I91" i="1"/>
  <c r="F91" i="1"/>
  <c r="L32" i="2"/>
  <c r="J161" i="1" l="1"/>
  <c r="J156" i="1"/>
  <c r="J155" i="1"/>
  <c r="G154" i="1"/>
  <c r="J153" i="1"/>
  <c r="J148" i="1"/>
  <c r="J147" i="1"/>
  <c r="G146" i="1"/>
  <c r="C37" i="3"/>
  <c r="A118" i="1" s="1"/>
  <c r="C45" i="3"/>
  <c r="A128" i="1" s="1"/>
  <c r="C53" i="3"/>
  <c r="A136" i="1" s="1"/>
  <c r="C61" i="3"/>
  <c r="A142" i="1" s="1"/>
  <c r="C77" i="3"/>
  <c r="A160" i="1" s="1"/>
  <c r="C69" i="3"/>
  <c r="A152" i="1" s="1"/>
  <c r="J145" i="1"/>
  <c r="J140" i="1"/>
  <c r="J139" i="1"/>
  <c r="G138" i="1"/>
  <c r="J137" i="1"/>
  <c r="J132" i="1"/>
  <c r="J131" i="1"/>
  <c r="G130" i="1"/>
  <c r="J129" i="1"/>
  <c r="J124" i="1"/>
  <c r="J123" i="1"/>
  <c r="A125" i="1"/>
  <c r="G122" i="1"/>
  <c r="J121" i="1"/>
  <c r="J116" i="1"/>
  <c r="J115" i="1"/>
  <c r="A120" i="1"/>
  <c r="A119" i="1"/>
  <c r="A116" i="1"/>
  <c r="A115" i="1"/>
  <c r="G114" i="1"/>
  <c r="D114" i="1"/>
  <c r="A114" i="1"/>
  <c r="K114" i="1"/>
  <c r="A137" i="1" l="1"/>
  <c r="A143" i="1"/>
  <c r="A138" i="1"/>
  <c r="A139" i="1"/>
  <c r="A144" i="1"/>
  <c r="D138" i="1"/>
  <c r="A140" i="1"/>
  <c r="A145" i="1"/>
  <c r="F138" i="1"/>
  <c r="A141" i="1"/>
  <c r="A161" i="1"/>
  <c r="F130" i="1"/>
  <c r="A133" i="1"/>
  <c r="A134" i="1"/>
  <c r="A130" i="1"/>
  <c r="A131" i="1"/>
  <c r="A135" i="1"/>
  <c r="D130" i="1"/>
  <c r="A132" i="1"/>
  <c r="A117" i="1"/>
  <c r="A121" i="1"/>
  <c r="A154" i="1"/>
  <c r="A157" i="1"/>
  <c r="A129" i="1"/>
  <c r="A155" i="1"/>
  <c r="F114" i="1"/>
  <c r="F122" i="1"/>
  <c r="F154" i="1"/>
  <c r="A159" i="1"/>
  <c r="A126" i="1"/>
  <c r="A158" i="1"/>
  <c r="A122" i="1"/>
  <c r="A123" i="1"/>
  <c r="A127" i="1"/>
  <c r="D122" i="1"/>
  <c r="A124" i="1"/>
  <c r="D154" i="1"/>
  <c r="A156" i="1"/>
  <c r="A147" i="1"/>
  <c r="A149" i="1"/>
  <c r="A153" i="1"/>
  <c r="A150" i="1"/>
  <c r="D146" i="1"/>
  <c r="A151" i="1"/>
  <c r="F146" i="1"/>
  <c r="A148" i="1"/>
  <c r="A146" i="1"/>
  <c r="H246" i="1"/>
  <c r="H252" i="1"/>
  <c r="H251" i="1"/>
  <c r="H250" i="1"/>
  <c r="H249" i="1"/>
  <c r="H248" i="1"/>
  <c r="H247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H233" i="1"/>
  <c r="A233" i="1"/>
  <c r="L2" i="2"/>
  <c r="L3" i="2"/>
  <c r="L4" i="2"/>
  <c r="L5" i="2"/>
  <c r="L6" i="2"/>
  <c r="L7" i="2"/>
  <c r="L8" i="2"/>
  <c r="E174" i="1"/>
  <c r="J166" i="1"/>
  <c r="J165" i="1"/>
  <c r="J164" i="1"/>
  <c r="J110" i="1"/>
  <c r="J109" i="1"/>
  <c r="J108" i="1"/>
  <c r="J107" i="1"/>
  <c r="J106" i="1"/>
  <c r="J105" i="1"/>
  <c r="J104" i="1"/>
  <c r="J103" i="1"/>
  <c r="J102" i="1"/>
  <c r="J101" i="1"/>
  <c r="J98" i="1"/>
  <c r="J97" i="1"/>
  <c r="J96" i="1"/>
  <c r="J9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59" i="1" s="1"/>
  <c r="C81" i="3"/>
  <c r="J158" i="1" s="1"/>
  <c r="C80" i="3"/>
  <c r="J157" i="1" s="1"/>
  <c r="C74" i="3"/>
  <c r="J151" i="1" s="1"/>
  <c r="C73" i="3"/>
  <c r="J150" i="1" s="1"/>
  <c r="C72" i="3"/>
  <c r="J149" i="1" s="1"/>
  <c r="C66" i="3"/>
  <c r="J143" i="1" s="1"/>
  <c r="C65" i="3"/>
  <c r="J142" i="1" s="1"/>
  <c r="C64" i="3"/>
  <c r="J141" i="1" s="1"/>
  <c r="C58" i="3"/>
  <c r="J135" i="1" s="1"/>
  <c r="C57" i="3"/>
  <c r="J134" i="1" s="1"/>
  <c r="C56" i="3"/>
  <c r="J133" i="1" s="1"/>
  <c r="C50" i="3"/>
  <c r="J127" i="1" s="1"/>
  <c r="C49" i="3"/>
  <c r="C48" i="3"/>
  <c r="J125" i="1" s="1"/>
  <c r="C42" i="3"/>
  <c r="J119" i="1" s="1"/>
  <c r="C41" i="3"/>
  <c r="J118" i="1" s="1"/>
  <c r="C40" i="3"/>
  <c r="J117" i="1" s="1"/>
  <c r="C9" i="3"/>
  <c r="J15" i="1" s="1"/>
  <c r="C5" i="3"/>
  <c r="J11" i="1" s="1"/>
  <c r="C51" i="3" l="1"/>
  <c r="J128" i="1" s="1"/>
  <c r="J126" i="1"/>
  <c r="C59" i="3"/>
  <c r="J136" i="1" s="1"/>
  <c r="H253" i="1"/>
  <c r="C67" i="3"/>
  <c r="J144" i="1" s="1"/>
  <c r="C75" i="3"/>
  <c r="J152" i="1" s="1"/>
  <c r="C83" i="3"/>
  <c r="J160" i="1" s="1"/>
  <c r="C43" i="3"/>
  <c r="J120" i="1" s="1"/>
  <c r="C16" i="3"/>
  <c r="C15" i="3"/>
  <c r="J21" i="1" s="1"/>
  <c r="C18" i="3" l="1"/>
  <c r="J24" i="1" s="1"/>
  <c r="J22" i="1"/>
  <c r="N176" i="1"/>
  <c r="A41" i="1"/>
  <c r="A70" i="1"/>
  <c r="A71" i="1"/>
  <c r="O71" i="1" l="1"/>
  <c r="I71" i="1"/>
  <c r="F71" i="1"/>
  <c r="H71" i="1"/>
  <c r="O70" i="1"/>
  <c r="I70" i="1"/>
  <c r="F70" i="1"/>
  <c r="H70" i="1"/>
  <c r="O41" i="1"/>
  <c r="H41" i="1"/>
  <c r="I41" i="1"/>
  <c r="F4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73" i="2"/>
  <c r="O73" i="2"/>
  <c r="N73" i="2"/>
  <c r="M73" i="2"/>
  <c r="P72" i="2"/>
  <c r="O72" i="2"/>
  <c r="N72" i="2"/>
  <c r="M72" i="2"/>
  <c r="P71" i="2"/>
  <c r="O71" i="2"/>
  <c r="N71" i="2"/>
  <c r="M71" i="2"/>
  <c r="P70" i="2"/>
  <c r="O70" i="2"/>
  <c r="N70" i="2"/>
  <c r="M70" i="2"/>
  <c r="P69" i="2"/>
  <c r="O69" i="2"/>
  <c r="N69" i="2"/>
  <c r="M69" i="2"/>
  <c r="P68" i="2"/>
  <c r="O68" i="2"/>
  <c r="N68" i="2"/>
  <c r="M68" i="2"/>
  <c r="P67" i="2"/>
  <c r="O67" i="2"/>
  <c r="N67" i="2"/>
  <c r="M67" i="2"/>
  <c r="P66" i="2"/>
  <c r="O66" i="2"/>
  <c r="N66" i="2"/>
  <c r="M66" i="2"/>
  <c r="P65" i="2"/>
  <c r="O65" i="2"/>
  <c r="N65" i="2"/>
  <c r="M65" i="2"/>
  <c r="P64" i="2"/>
  <c r="O64" i="2"/>
  <c r="N64" i="2"/>
  <c r="M64" i="2"/>
  <c r="P63" i="2"/>
  <c r="O63" i="2"/>
  <c r="N63" i="2"/>
  <c r="M63" i="2"/>
  <c r="P62" i="2"/>
  <c r="O62" i="2"/>
  <c r="N62" i="2"/>
  <c r="M62" i="2"/>
  <c r="P61" i="2"/>
  <c r="O61" i="2"/>
  <c r="N61" i="2"/>
  <c r="M61" i="2"/>
  <c r="P60" i="2"/>
  <c r="O60" i="2"/>
  <c r="N60" i="2"/>
  <c r="M60" i="2"/>
  <c r="P59" i="2"/>
  <c r="O59" i="2"/>
  <c r="N59" i="2"/>
  <c r="M59" i="2"/>
  <c r="L31" i="2"/>
  <c r="L30" i="2"/>
  <c r="L29" i="2"/>
  <c r="L28" i="2"/>
  <c r="L27" i="2"/>
  <c r="L26" i="2"/>
  <c r="L25" i="2"/>
  <c r="L24" i="2"/>
  <c r="L23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F51" i="1" l="1"/>
  <c r="H51" i="1"/>
  <c r="I51" i="1"/>
  <c r="H43" i="1"/>
  <c r="F43" i="1"/>
  <c r="I43" i="1"/>
  <c r="H47" i="1"/>
  <c r="F47" i="1"/>
  <c r="I47" i="1"/>
  <c r="H55" i="1"/>
  <c r="I55" i="1"/>
  <c r="F55" i="1"/>
  <c r="I59" i="1"/>
  <c r="H59" i="1"/>
  <c r="F59" i="1"/>
  <c r="F63" i="1"/>
  <c r="H63" i="1"/>
  <c r="I63" i="1"/>
  <c r="H67" i="1"/>
  <c r="F67" i="1"/>
  <c r="I67" i="1"/>
  <c r="H44" i="1"/>
  <c r="I44" i="1"/>
  <c r="F44" i="1"/>
  <c r="H48" i="1"/>
  <c r="I48" i="1"/>
  <c r="F48" i="1"/>
  <c r="H52" i="1"/>
  <c r="I52" i="1"/>
  <c r="F52" i="1"/>
  <c r="H56" i="1"/>
  <c r="I56" i="1"/>
  <c r="F56" i="1"/>
  <c r="H60" i="1"/>
  <c r="I60" i="1"/>
  <c r="F60" i="1"/>
  <c r="H64" i="1"/>
  <c r="I64" i="1"/>
  <c r="F64" i="1"/>
  <c r="H68" i="1"/>
  <c r="I68" i="1"/>
  <c r="F68" i="1"/>
  <c r="H45" i="1"/>
  <c r="I45" i="1"/>
  <c r="F45" i="1"/>
  <c r="I49" i="1"/>
  <c r="F49" i="1"/>
  <c r="H49" i="1"/>
  <c r="I53" i="1"/>
  <c r="F53" i="1"/>
  <c r="H53" i="1"/>
  <c r="H57" i="1"/>
  <c r="I57" i="1"/>
  <c r="F57" i="1"/>
  <c r="H61" i="1"/>
  <c r="I61" i="1"/>
  <c r="F61" i="1"/>
  <c r="I65" i="1"/>
  <c r="F65" i="1"/>
  <c r="H65" i="1"/>
  <c r="H69" i="1"/>
  <c r="I69" i="1"/>
  <c r="F69" i="1"/>
  <c r="I46" i="1"/>
  <c r="F46" i="1"/>
  <c r="H46" i="1"/>
  <c r="I50" i="1"/>
  <c r="F50" i="1"/>
  <c r="H50" i="1"/>
  <c r="I54" i="1"/>
  <c r="F54" i="1"/>
  <c r="H54" i="1"/>
  <c r="I58" i="1"/>
  <c r="F58" i="1"/>
  <c r="H58" i="1"/>
  <c r="I62" i="1"/>
  <c r="F62" i="1"/>
  <c r="H62" i="1"/>
  <c r="I66" i="1"/>
  <c r="F66" i="1"/>
  <c r="H66" i="1"/>
  <c r="H72" i="1"/>
  <c r="I72" i="1"/>
  <c r="F72" i="1"/>
  <c r="H33" i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I208" i="1" s="1"/>
  <c r="F32" i="1"/>
  <c r="F208" i="1" s="1"/>
  <c r="H32" i="1"/>
  <c r="H208" i="1" s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O44" i="1"/>
  <c r="O48" i="1"/>
  <c r="O52" i="1"/>
  <c r="O56" i="1"/>
  <c r="O60" i="1"/>
  <c r="O64" i="1"/>
  <c r="O68" i="1"/>
  <c r="O33" i="1"/>
  <c r="O37" i="1"/>
  <c r="O42" i="1"/>
  <c r="O31" i="1"/>
  <c r="O35" i="1"/>
  <c r="O39" i="1"/>
  <c r="O45" i="1"/>
  <c r="O49" i="1"/>
  <c r="O53" i="1"/>
  <c r="O57" i="1"/>
  <c r="O61" i="1"/>
  <c r="O65" i="1"/>
  <c r="O69" i="1"/>
  <c r="O32" i="1"/>
  <c r="O36" i="1"/>
  <c r="O40" i="1"/>
  <c r="O50" i="1"/>
  <c r="O54" i="1"/>
  <c r="O58" i="1"/>
  <c r="O62" i="1"/>
  <c r="O66" i="1"/>
  <c r="O72" i="1"/>
  <c r="O43" i="1"/>
  <c r="O47" i="1"/>
  <c r="O51" i="1"/>
  <c r="O55" i="1"/>
  <c r="O59" i="1"/>
  <c r="O63" i="1"/>
  <c r="O67" i="1"/>
  <c r="O46" i="1"/>
  <c r="I227" i="1" l="1"/>
  <c r="I219" i="1"/>
  <c r="I211" i="1"/>
  <c r="I226" i="1"/>
  <c r="I222" i="1"/>
  <c r="I218" i="1"/>
  <c r="I214" i="1"/>
  <c r="I210" i="1"/>
  <c r="I221" i="1"/>
  <c r="I213" i="1"/>
  <c r="I225" i="1"/>
  <c r="I217" i="1"/>
  <c r="I209" i="1"/>
  <c r="I224" i="1"/>
  <c r="I220" i="1"/>
  <c r="I216" i="1"/>
  <c r="I212" i="1"/>
  <c r="I223" i="1"/>
  <c r="I215" i="1"/>
  <c r="H227" i="1"/>
  <c r="H223" i="1"/>
  <c r="H219" i="1"/>
  <c r="H215" i="1"/>
  <c r="H211" i="1"/>
  <c r="H226" i="1"/>
  <c r="H222" i="1"/>
  <c r="H218" i="1"/>
  <c r="H214" i="1"/>
  <c r="H210" i="1"/>
  <c r="H225" i="1"/>
  <c r="H221" i="1"/>
  <c r="H217" i="1"/>
  <c r="H213" i="1"/>
  <c r="H209" i="1"/>
  <c r="H224" i="1"/>
  <c r="H220" i="1"/>
  <c r="H216" i="1"/>
  <c r="H212" i="1"/>
  <c r="F227" i="1"/>
  <c r="F223" i="1"/>
  <c r="F219" i="1"/>
  <c r="F215" i="1"/>
  <c r="F211" i="1"/>
  <c r="F226" i="1"/>
  <c r="F222" i="1"/>
  <c r="F218" i="1"/>
  <c r="F214" i="1"/>
  <c r="F210" i="1"/>
  <c r="F225" i="1"/>
  <c r="F221" i="1"/>
  <c r="F217" i="1"/>
  <c r="F213" i="1"/>
  <c r="F209" i="1"/>
  <c r="F224" i="1"/>
  <c r="F220" i="1"/>
  <c r="F216" i="1"/>
  <c r="F212" i="1"/>
  <c r="A204" i="1"/>
  <c r="A201" i="1"/>
  <c r="A185" i="1"/>
  <c r="A199" i="1"/>
  <c r="A198" i="1"/>
  <c r="A200" i="1"/>
  <c r="A184" i="1"/>
  <c r="A197" i="1"/>
  <c r="A181" i="1"/>
  <c r="I181" i="1" s="1"/>
  <c r="A195" i="1"/>
  <c r="A194" i="1"/>
  <c r="A196" i="1"/>
  <c r="A193" i="1"/>
  <c r="A207" i="1"/>
  <c r="A191" i="1"/>
  <c r="A206" i="1"/>
  <c r="A190" i="1"/>
  <c r="A192" i="1"/>
  <c r="A205" i="1"/>
  <c r="A189" i="1"/>
  <c r="A203" i="1"/>
  <c r="A187" i="1"/>
  <c r="A202" i="1"/>
  <c r="A186" i="1"/>
  <c r="A188" i="1"/>
  <c r="O28" i="1"/>
  <c r="H207" i="1" l="1"/>
  <c r="I207" i="1"/>
  <c r="H206" i="1"/>
  <c r="I206" i="1"/>
  <c r="H205" i="1"/>
  <c r="I205" i="1"/>
  <c r="H204" i="1"/>
  <c r="I204" i="1"/>
  <c r="H203" i="1"/>
  <c r="I203" i="1"/>
  <c r="H202" i="1"/>
  <c r="I202" i="1"/>
  <c r="H201" i="1"/>
  <c r="I201" i="1"/>
  <c r="H200" i="1"/>
  <c r="I200" i="1"/>
  <c r="H199" i="1"/>
  <c r="I199" i="1"/>
  <c r="H198" i="1"/>
  <c r="I198" i="1"/>
  <c r="H197" i="1"/>
  <c r="I197" i="1"/>
  <c r="H196" i="1"/>
  <c r="I196" i="1"/>
  <c r="H195" i="1"/>
  <c r="I195" i="1"/>
  <c r="H194" i="1"/>
  <c r="I194" i="1"/>
  <c r="H193" i="1"/>
  <c r="I193" i="1"/>
  <c r="H192" i="1"/>
  <c r="I192" i="1"/>
  <c r="H191" i="1"/>
  <c r="I191" i="1"/>
  <c r="H190" i="1"/>
  <c r="I190" i="1"/>
  <c r="H189" i="1"/>
  <c r="I189" i="1"/>
  <c r="H188" i="1"/>
  <c r="I188" i="1"/>
  <c r="H187" i="1"/>
  <c r="I187" i="1"/>
  <c r="H186" i="1"/>
  <c r="I186" i="1"/>
  <c r="H185" i="1"/>
  <c r="I185" i="1"/>
  <c r="H184" i="1"/>
  <c r="I184" i="1"/>
  <c r="F181" i="1"/>
  <c r="H181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A179" i="1"/>
  <c r="I179" i="1" s="1"/>
  <c r="A180" i="1"/>
  <c r="I180" i="1" s="1"/>
  <c r="A183" i="1"/>
  <c r="I183" i="1" s="1"/>
  <c r="A182" i="1"/>
  <c r="I182" i="1" s="1"/>
  <c r="A178" i="1"/>
  <c r="I178" i="1" s="1"/>
  <c r="E175" i="1"/>
  <c r="F183" i="1" l="1"/>
  <c r="H183" i="1"/>
  <c r="F182" i="1"/>
  <c r="H182" i="1"/>
  <c r="F180" i="1"/>
  <c r="H180" i="1"/>
  <c r="F179" i="1"/>
  <c r="H179" i="1"/>
  <c r="F178" i="1"/>
  <c r="H178" i="1"/>
  <c r="E229" i="1" l="1"/>
  <c r="E230" i="1" s="1"/>
</calcChain>
</file>

<file path=xl/sharedStrings.xml><?xml version="1.0" encoding="utf-8"?>
<sst xmlns="http://schemas.openxmlformats.org/spreadsheetml/2006/main" count="584" uniqueCount="226">
  <si>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</si>
  <si>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</si>
  <si>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</si>
  <si>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</si>
  <si>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</si>
  <si>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</si>
  <si>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</si>
  <si>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</si>
  <si>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</si>
  <si>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</si>
  <si>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</si>
  <si>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</si>
  <si>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</si>
  <si>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</si>
  <si>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</si>
  <si>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</si>
  <si>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</si>
  <si>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</si>
  <si>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</si>
  <si>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</si>
  <si>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</si>
  <si>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</si>
  <si>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</si>
  <si>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</si>
  <si>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</si>
  <si>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</si>
  <si>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</si>
  <si>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</si>
  <si>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</si>
  <si>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</si>
  <si>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</si>
  <si>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</si>
  <si>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</si>
  <si>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</si>
  <si>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</si>
  <si>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</si>
  <si>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</si>
  <si>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</si>
  <si>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</si>
  <si>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</si>
  <si>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</si>
  <si>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</si>
  <si>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</si>
  <si>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</si>
  <si>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</si>
  <si>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</si>
  <si>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</si>
  <si>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</si>
  <si>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</si>
  <si>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</si>
  <si>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</si>
  <si>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</si>
  <si>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</si>
  <si>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</si>
  <si>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</si>
  <si>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</si>
  <si>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</si>
  <si>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</si>
  <si>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</si>
  <si>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</si>
  <si>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</si>
  <si>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</si>
  <si>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</si>
  <si>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</si>
  <si>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</si>
  <si>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</si>
  <si>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</si>
  <si>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</si>
  <si>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</si>
  <si>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</si>
  <si>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</si>
  <si>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</si>
  <si>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</si>
  <si>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</si>
  <si>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</si>
  <si>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</si>
  <si>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 -  техническое обслуживание системы видеонаблюдения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</si>
  <si>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</si>
  <si>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</si>
  <si>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</si>
  <si>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</si>
  <si>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</si>
  <si>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</si>
  <si>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</si>
  <si>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</si>
  <si>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</si>
  <si>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</si>
  <si>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</si>
  <si>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</si>
  <si>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</si>
  <si>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</si>
  <si>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</si>
  <si>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</si>
  <si>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</si>
  <si>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</si>
  <si>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</si>
  <si>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</si>
  <si>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</si>
  <si>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</si>
  <si>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</si>
  <si>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</si>
  <si>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</si>
  <si>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</si>
  <si>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</si>
  <si>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</si>
  <si>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</si>
  <si>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</si>
  <si>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</si>
  <si>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</si>
  <si>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</si>
  <si>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</si>
  <si>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</si>
  <si>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</si>
  <si>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</si>
  <si>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</si>
  <si>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</si>
  <si>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</si>
  <si>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</si>
  <si>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</si>
  <si>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</si>
  <si>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</si>
  <si>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</si>
  <si>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</si>
  <si>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</si>
  <si>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</si>
  <si>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</si>
  <si>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</si>
  <si>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</si>
  <si>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</si>
  <si>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</si>
  <si>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</si>
  <si>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</si>
  <si>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</si>
  <si>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</si>
  <si>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</si>
  <si>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</si>
  <si>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</si>
  <si>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</si>
  <si>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</si>
  <si>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</si>
  <si>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</si>
  <si>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</si>
  <si>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</si>
  <si>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</si>
  <si>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</si>
  <si>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</si>
  <si>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</si>
  <si>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</si>
  <si>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</si>
  <si>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</si>
  <si>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</si>
  <si>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</si>
  <si>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</si>
  <si>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</si>
  <si>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</si>
  <si>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</si>
  <si>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</si>
  <si>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</si>
  <si>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</si>
  <si>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</si>
  <si>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</si>
  <si>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</si>
  <si>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</si>
  <si>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</si>
  <si>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</si>
  <si>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</si>
  <si>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</si>
  <si>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</si>
  <si>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</si>
  <si>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</si>
  <si>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</si>
  <si>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</si>
  <si>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</si>
  <si>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</si>
  <si>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</si>
  <si>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</si>
  <si>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</si>
  <si>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ежегодно</t>
  </si>
  <si>
    <t>площадь дома</t>
  </si>
  <si>
    <t xml:space="preserve">Техническое освидетельствование лифтов. </t>
  </si>
  <si>
    <t>Техническое обслуживание системы видеонаблюдения.</t>
  </si>
  <si>
    <t>ежемесячно</t>
  </si>
  <si>
    <t>Отчет об исполнении договора управления многоквартирного дома 
Юбилейный, 122</t>
  </si>
  <si>
    <t xml:space="preserve">  -  вывоз снега с придомовой территории</t>
  </si>
  <si>
    <t xml:space="preserve">  -  благоустройство территории (завоз песка, чернозема, приобретение рассады)</t>
  </si>
  <si>
    <t xml:space="preserve">  -  генеральная уборка в подъездах</t>
  </si>
  <si>
    <t>Отчет об исполнении договора управления многоквартирного дома 
Юбилейный, 122 в части текущего ремонта</t>
  </si>
  <si>
    <t xml:space="preserve">  -  ремонт в 2-х подъездах</t>
  </si>
  <si>
    <t>В 2023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</si>
  <si>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2022 года (руб.):</t>
  </si>
  <si>
    <t>Итого выполнено работ в 2022 года (руб.):</t>
  </si>
  <si>
    <t>Начислено за  текущий ремонт в 2022 году (руб.):</t>
  </si>
  <si>
    <t>Перерасход (+) или экономия 
(-) средств в 2021 году (руб.)</t>
  </si>
  <si>
    <t>разово</t>
  </si>
  <si>
    <t>Замена блока питания регистратора системы видеонаблюдения.</t>
  </si>
  <si>
    <t>Замена блока питания и контроллера системы домофон (13 этаж).</t>
  </si>
  <si>
    <t>АВР 1/22 от 24.02.2022, Решение</t>
  </si>
  <si>
    <t>Замена каната ограничения скорости кабины лифта (1 подъезд).</t>
  </si>
  <si>
    <t>Замена блока питания системы домофон (2 подъезд, 14 этаж).</t>
  </si>
  <si>
    <t>Устранение засора канализационной сети.</t>
  </si>
  <si>
    <t>АВР 2/22 от 13.04.2022</t>
  </si>
  <si>
    <t>Перекатка пожарных рукавов на новую скатку (28 шт.).</t>
  </si>
  <si>
    <t>Замена блока питания системы видеонаблюдения.</t>
  </si>
  <si>
    <t>Организация и проведение праздника "1 Сентября".</t>
  </si>
  <si>
    <t>Проверка и диагностика пожарных выходов.</t>
  </si>
  <si>
    <t>Приобретение и замена фасадной плитки.</t>
  </si>
  <si>
    <t>АВР 3/22 от 12.10.2022, счет №25 от 31.01.2022</t>
  </si>
  <si>
    <t>АВР 4/22 от 12.10.2022, счет №846 от 27.12.2021, Решение</t>
  </si>
  <si>
    <t>АВР 5/22 от 12.10.2022, счет №60 от 10.03.2022( Байк 244/5)</t>
  </si>
  <si>
    <t xml:space="preserve">АВР 6/22 от 12.10.2022, Решение, счет №2348 от 16.06.2022 </t>
  </si>
  <si>
    <t>АВР 7/22 от 12.10.2022, счет №61 от 20.06.2022, дефектовка</t>
  </si>
  <si>
    <t>АВР 8/22 от 12.10.2022, счет №657 от 29.08.2022</t>
  </si>
  <si>
    <t>АВР 9/22 от 12.10.2022, счет №251 от 31.08.2022</t>
  </si>
  <si>
    <t>АВР 10/22 от 12.10.2022, Решение, счет №259 от 11.08.2022</t>
  </si>
  <si>
    <t>АВР 11/22 от 12.10.2022</t>
  </si>
  <si>
    <t>АВР 12/22 от 12.10.2022</t>
  </si>
  <si>
    <t>Восстановление питания (14 этаж), замена кнопки выхода, замена контроллера пожарного выхода (13 этаж).</t>
  </si>
  <si>
    <t>АВР 13/22 от 09.11.2022, Решение</t>
  </si>
  <si>
    <t>Замена и восстановление светодиодных светильников (1, 2 подъезды, 25 шт.).</t>
  </si>
  <si>
    <t>Определение границ земельного участка.</t>
  </si>
  <si>
    <t>АВР 14/22 от 12.01.2023, счет № 494 от 21.10.2022</t>
  </si>
  <si>
    <t>АВР 15/22 от 12.01.2022, счет №288 от 31.10.2022</t>
  </si>
  <si>
    <t>АВР 16/22 от 12.01.2023, счета №255 от 12.11.2022, 657 от 10.11.2022</t>
  </si>
  <si>
    <t>АВР 17/22 от 12.01.2023, счет №50 от 05.12.22</t>
  </si>
  <si>
    <t>Ремонт прибор охрано-пожарной безопасности для автономной работы.</t>
  </si>
  <si>
    <t>Проведение Новогоднего праздника (подарки 90 шт.).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</si>
</sst>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33" fillId="0" borderId="0"/>
    <xf numFmtId="0" fontId="32" fillId="0" borderId="0"/>
    <xf numFmtId="0" fontId="45" fillId="0" borderId="0"/>
    <xf numFmtId="0" fontId="31" fillId="0" borderId="0"/>
    <xf numFmtId="0" fontId="30" fillId="0" borderId="0"/>
    <xf numFmtId="0" fontId="29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</cellStyleXfs>
  <cellXfs count="236">
    <xf numFmtId="0" fontId="0" fillId="0" borderId="0" xfId="0"/>
    <xf numFmtId="0" fontId="34" fillId="0" borderId="0" xfId="0" applyFont="1"/>
    <xf numFmtId="0" fontId="34" fillId="0" borderId="0" xfId="0" applyFont="1" applyAlignment="1">
      <alignment horizontal="center" wrapText="1"/>
    </xf>
    <xf numFmtId="14" fontId="34" fillId="0" borderId="0" xfId="0" applyNumberFormat="1" applyFont="1"/>
    <xf numFmtId="0" fontId="35" fillId="2" borderId="0" xfId="0" applyFont="1" applyFill="1" applyAlignment="1">
      <alignment horizontal="right" wrapText="1" indent="1"/>
    </xf>
    <xf numFmtId="0" fontId="36" fillId="3" borderId="1" xfId="0" applyFont="1" applyFill="1" applyBorder="1" applyAlignment="1">
      <alignment horizontal="center" vertical="center" wrapText="1"/>
    </xf>
    <xf numFmtId="4" fontId="36" fillId="3" borderId="1" xfId="1" applyNumberFormat="1" applyFont="1" applyFill="1" applyBorder="1" applyAlignment="1">
      <alignment horizontal="center" vertical="center" wrapText="1"/>
    </xf>
    <xf numFmtId="0" fontId="37" fillId="0" borderId="0" xfId="0" applyFont="1"/>
    <xf numFmtId="0" fontId="37" fillId="0" borderId="1" xfId="0" applyFont="1" applyBorder="1" applyAlignment="1">
      <alignment horizontal="center"/>
    </xf>
    <xf numFmtId="4" fontId="36" fillId="2" borderId="1" xfId="1" applyNumberFormat="1" applyFont="1" applyFill="1" applyBorder="1" applyAlignment="1">
      <alignment horizontal="center" wrapText="1"/>
    </xf>
    <xf numFmtId="0" fontId="37" fillId="0" borderId="1" xfId="0" applyFont="1" applyBorder="1" applyAlignment="1">
      <alignment vertical="center" wrapText="1"/>
    </xf>
    <xf numFmtId="0" fontId="39" fillId="0" borderId="0" xfId="0" applyFont="1"/>
    <xf numFmtId="0" fontId="40" fillId="0" borderId="0" xfId="0" applyFont="1"/>
    <xf numFmtId="0" fontId="38" fillId="0" borderId="1" xfId="1" applyFont="1" applyBorder="1" applyAlignment="1">
      <alignment vertical="center"/>
    </xf>
    <xf numFmtId="0" fontId="36" fillId="2" borderId="1" xfId="1" applyNumberFormat="1" applyFont="1" applyFill="1" applyBorder="1" applyAlignment="1">
      <alignment horizontal="center" wrapText="1"/>
    </xf>
    <xf numFmtId="0" fontId="41" fillId="0" borderId="0" xfId="0" applyFont="1"/>
    <xf numFmtId="4" fontId="34" fillId="0" borderId="0" xfId="0" applyNumberFormat="1" applyFont="1"/>
    <xf numFmtId="4" fontId="36" fillId="2" borderId="1" xfId="0" applyNumberFormat="1" applyFont="1" applyFill="1" applyBorder="1" applyAlignment="1" applyProtection="1">
      <alignment horizontal="center" wrapText="1"/>
    </xf>
    <xf numFmtId="4" fontId="36" fillId="2" borderId="1" xfId="1" applyNumberFormat="1" applyFont="1" applyFill="1" applyBorder="1" applyAlignment="1">
      <alignment horizontal="center" vertical="center"/>
    </xf>
    <xf numFmtId="4" fontId="36" fillId="3" borderId="1" xfId="1" applyNumberFormat="1" applyFont="1" applyFill="1" applyBorder="1" applyAlignment="1">
      <alignment horizontal="center" vertical="center" wrapText="1"/>
    </xf>
    <xf numFmtId="0" fontId="36" fillId="3" borderId="1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left" wrapText="1"/>
    </xf>
    <xf numFmtId="0" fontId="34" fillId="0" borderId="0" xfId="0" applyFont="1" applyAlignment="1">
      <alignment vertical="center"/>
    </xf>
    <xf numFmtId="0" fontId="43" fillId="0" borderId="0" xfId="0" applyFont="1" applyAlignment="1">
      <alignment wrapText="1"/>
    </xf>
    <xf numFmtId="4" fontId="36" fillId="3" borderId="1" xfId="1" applyNumberFormat="1" applyFont="1" applyFill="1" applyBorder="1" applyAlignment="1">
      <alignment horizontal="center" vertical="center" wrapText="1"/>
    </xf>
    <xf numFmtId="4" fontId="36" fillId="0" borderId="0" xfId="0" applyNumberFormat="1" applyFont="1" applyBorder="1" applyAlignment="1">
      <alignment horizontal="left" wrapText="1"/>
    </xf>
    <xf numFmtId="4" fontId="34" fillId="0" borderId="0" xfId="0" applyNumberFormat="1" applyFont="1" applyAlignment="1">
      <alignment vertical="center"/>
    </xf>
    <xf numFmtId="4" fontId="42" fillId="0" borderId="0" xfId="0" applyNumberFormat="1" applyFont="1" applyBorder="1" applyAlignment="1">
      <alignment vertical="center" wrapText="1"/>
    </xf>
    <xf numFmtId="0" fontId="32" fillId="0" borderId="0" xfId="2" applyFill="1" applyBorder="1" applyAlignment="1"/>
    <xf numFmtId="0" fontId="0" fillId="0" borderId="0" xfId="0" applyBorder="1"/>
    <xf numFmtId="0" fontId="44" fillId="0" borderId="0" xfId="2" applyFont="1" applyFill="1" applyBorder="1" applyAlignment="1"/>
    <xf numFmtId="4" fontId="44" fillId="0" borderId="0" xfId="2" applyNumberFormat="1" applyFont="1" applyBorder="1" applyAlignment="1">
      <alignment horizontal="center"/>
    </xf>
    <xf numFmtId="0" fontId="36" fillId="3" borderId="0" xfId="0" applyFont="1" applyFill="1" applyBorder="1" applyAlignment="1">
      <alignment vertical="center" wrapText="1"/>
    </xf>
    <xf numFmtId="0" fontId="47" fillId="3" borderId="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vertical="center"/>
    </xf>
    <xf numFmtId="0" fontId="46" fillId="3" borderId="0" xfId="0" applyFont="1" applyFill="1" applyBorder="1" applyAlignment="1">
      <alignment horizontal="left" vertical="center" wrapText="1"/>
    </xf>
    <xf numFmtId="4" fontId="46" fillId="3" borderId="0" xfId="1" applyNumberFormat="1" applyFont="1" applyFill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/>
    </xf>
    <xf numFmtId="4" fontId="44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36" fillId="3" borderId="1" xfId="1" applyNumberFormat="1" applyFont="1" applyFill="1" applyBorder="1" applyAlignment="1">
      <alignment horizontal="center" vertical="center" wrapText="1"/>
    </xf>
    <xf numFmtId="4" fontId="31" fillId="0" borderId="0" xfId="4" applyNumberFormat="1" applyFill="1" applyBorder="1" applyAlignment="1"/>
    <xf numFmtId="0" fontId="44" fillId="0" borderId="0" xfId="4" applyFont="1" applyFill="1" applyBorder="1" applyAlignment="1"/>
    <xf numFmtId="0" fontId="31" fillId="0" borderId="0" xfId="4" applyFill="1" applyBorder="1" applyAlignment="1"/>
    <xf numFmtId="4" fontId="44" fillId="0" borderId="0" xfId="4" applyNumberFormat="1" applyFont="1" applyFill="1" applyBorder="1" applyAlignment="1"/>
    <xf numFmtId="0" fontId="41" fillId="0" borderId="0" xfId="0" applyFont="1" applyAlignment="1">
      <alignment horizontal="left" vertical="center" textRotation="90"/>
    </xf>
    <xf numFmtId="4" fontId="42" fillId="0" borderId="0" xfId="0" applyNumberFormat="1" applyFont="1"/>
    <xf numFmtId="0" fontId="42" fillId="0" borderId="0" xfId="0" applyFont="1"/>
    <xf numFmtId="4" fontId="42" fillId="0" borderId="0" xfId="0" applyNumberFormat="1" applyFont="1" applyFill="1"/>
    <xf numFmtId="0" fontId="34" fillId="0" borderId="0" xfId="0" applyFont="1" applyFill="1"/>
    <xf numFmtId="0" fontId="40" fillId="0" borderId="0" xfId="0" applyFont="1" applyFill="1" applyBorder="1" applyAlignment="1">
      <alignment horizontal="left"/>
    </xf>
    <xf numFmtId="0" fontId="42" fillId="0" borderId="0" xfId="0" applyFont="1" applyFill="1"/>
    <xf numFmtId="4" fontId="50" fillId="0" borderId="0" xfId="0" applyNumberFormat="1" applyFont="1"/>
    <xf numFmtId="0" fontId="50" fillId="0" borderId="0" xfId="0" applyFont="1"/>
    <xf numFmtId="0" fontId="39" fillId="0" borderId="0" xfId="0" applyFont="1" applyBorder="1"/>
    <xf numFmtId="0" fontId="34" fillId="0" borderId="0" xfId="0" applyFont="1" applyBorder="1"/>
    <xf numFmtId="0" fontId="36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36" fillId="0" borderId="0" xfId="0" applyFont="1" applyBorder="1" applyAlignment="1" applyProtection="1">
      <alignment wrapText="1"/>
      <protection locked="0"/>
    </xf>
    <xf numFmtId="0" fontId="37" fillId="0" borderId="0" xfId="0" applyFont="1" applyBorder="1" applyProtection="1">
      <protection locked="0"/>
    </xf>
    <xf numFmtId="0" fontId="34" fillId="0" borderId="0" xfId="0" applyFont="1" applyBorder="1" applyProtection="1">
      <protection locked="0"/>
    </xf>
    <xf numFmtId="0" fontId="36" fillId="0" borderId="0" xfId="1" applyFont="1" applyBorder="1" applyAlignment="1" applyProtection="1">
      <alignment wrapText="1"/>
      <protection locked="0"/>
    </xf>
    <xf numFmtId="0" fontId="37" fillId="0" borderId="0" xfId="0" applyFont="1" applyBorder="1" applyAlignment="1" applyProtection="1">
      <alignment vertical="center" wrapText="1"/>
      <protection locked="0"/>
    </xf>
    <xf numFmtId="0" fontId="38" fillId="0" borderId="0" xfId="1" applyFont="1" applyBorder="1" applyAlignment="1" applyProtection="1">
      <alignment vertical="center"/>
      <protection locked="0"/>
    </xf>
    <xf numFmtId="0" fontId="36" fillId="0" borderId="0" xfId="1" applyFont="1" applyBorder="1" applyAlignment="1" applyProtection="1">
      <alignment vertical="center" wrapText="1"/>
      <protection locked="0"/>
    </xf>
    <xf numFmtId="0" fontId="36" fillId="0" borderId="0" xfId="1" applyFont="1" applyBorder="1" applyAlignment="1" applyProtection="1">
      <alignment horizontal="center" vertical="center" wrapText="1"/>
      <protection locked="0"/>
    </xf>
    <xf numFmtId="0" fontId="36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39" fillId="0" borderId="0" xfId="0" applyFont="1" applyBorder="1" applyProtection="1"/>
    <xf numFmtId="0" fontId="36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40" fillId="0" borderId="0" xfId="0" applyFont="1" applyBorder="1" applyProtection="1"/>
    <xf numFmtId="0" fontId="36" fillId="0" borderId="0" xfId="1" applyFont="1" applyBorder="1" applyAlignment="1" applyProtection="1">
      <alignment wrapText="1"/>
    </xf>
    <xf numFmtId="0" fontId="37" fillId="0" borderId="0" xfId="0" applyFont="1" applyBorder="1" applyAlignment="1" applyProtection="1">
      <alignment horizontal="center" vertical="center" wrapText="1"/>
    </xf>
    <xf numFmtId="0" fontId="38" fillId="0" borderId="0" xfId="1" applyFont="1" applyBorder="1" applyAlignment="1" applyProtection="1">
      <alignment vertical="center"/>
    </xf>
    <xf numFmtId="0" fontId="36" fillId="0" borderId="0" xfId="1" applyFont="1" applyBorder="1" applyAlignment="1" applyProtection="1">
      <alignment vertical="center" wrapText="1"/>
    </xf>
    <xf numFmtId="4" fontId="36" fillId="4" borderId="0" xfId="0" applyNumberFormat="1" applyFont="1" applyFill="1" applyBorder="1" applyAlignment="1" applyProtection="1">
      <alignment horizontal="center" wrapText="1"/>
    </xf>
    <xf numFmtId="0" fontId="37" fillId="0" borderId="0" xfId="0" applyFont="1" applyBorder="1" applyProtection="1"/>
    <xf numFmtId="0" fontId="49" fillId="0" borderId="0" xfId="0" applyFont="1" applyBorder="1" applyProtection="1"/>
    <xf numFmtId="4" fontId="36" fillId="4" borderId="0" xfId="1" applyNumberFormat="1" applyFont="1" applyFill="1" applyBorder="1" applyAlignment="1" applyProtection="1">
      <alignment horizontal="center" wrapText="1"/>
    </xf>
    <xf numFmtId="4" fontId="36" fillId="5" borderId="0" xfId="0" applyNumberFormat="1" applyFont="1" applyFill="1" applyBorder="1" applyAlignment="1" applyProtection="1">
      <alignment horizontal="center" wrapText="1"/>
      <protection locked="0"/>
    </xf>
    <xf numFmtId="0" fontId="37" fillId="5" borderId="0" xfId="0" applyFont="1" applyFill="1" applyBorder="1" applyAlignment="1" applyProtection="1">
      <alignment horizontal="center"/>
      <protection locked="0"/>
    </xf>
    <xf numFmtId="2" fontId="37" fillId="5" borderId="0" xfId="0" applyNumberFormat="1" applyFont="1" applyFill="1" applyBorder="1" applyAlignment="1" applyProtection="1">
      <alignment horizontal="center"/>
      <protection locked="0"/>
    </xf>
    <xf numFmtId="4" fontId="36" fillId="5" borderId="0" xfId="1" applyNumberFormat="1" applyFont="1" applyFill="1" applyBorder="1" applyAlignment="1" applyProtection="1">
      <alignment horizontal="center" wrapText="1"/>
      <protection locked="0"/>
    </xf>
    <xf numFmtId="0" fontId="36" fillId="5" borderId="0" xfId="1" applyFont="1" applyFill="1" applyBorder="1" applyAlignment="1" applyProtection="1">
      <alignment horizontal="center" wrapText="1"/>
      <protection locked="0"/>
    </xf>
    <xf numFmtId="2" fontId="36" fillId="5" borderId="0" xfId="1" applyNumberFormat="1" applyFont="1" applyFill="1" applyBorder="1" applyAlignment="1" applyProtection="1">
      <alignment horizontal="center" wrapText="1"/>
      <protection locked="0"/>
    </xf>
    <xf numFmtId="0" fontId="38" fillId="0" borderId="0" xfId="1" applyFont="1" applyBorder="1" applyAlignment="1" applyProtection="1">
      <alignment horizontal="center" vertical="center" wrapText="1"/>
      <protection locked="0"/>
    </xf>
    <xf numFmtId="4" fontId="36" fillId="5" borderId="0" xfId="1" applyNumberFormat="1" applyFont="1" applyFill="1" applyBorder="1" applyAlignment="1" applyProtection="1">
      <alignment horizontal="center" vertical="center"/>
      <protection locked="0"/>
    </xf>
    <xf numFmtId="4" fontId="36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Border="1" applyAlignment="1" applyProtection="1">
      <alignment horizontal="center" vertical="center" wrapText="1"/>
    </xf>
    <xf numFmtId="4" fontId="36" fillId="4" borderId="0" xfId="1" applyNumberFormat="1" applyFont="1" applyFill="1" applyBorder="1" applyAlignment="1" applyProtection="1">
      <alignment horizontal="center" vertical="center" wrapText="1"/>
    </xf>
    <xf numFmtId="0" fontId="38" fillId="0" borderId="0" xfId="1" applyFont="1" applyBorder="1" applyAlignment="1" applyProtection="1">
      <alignment horizontal="center" vertical="center" wrapText="1"/>
    </xf>
    <xf numFmtId="4" fontId="38" fillId="5" borderId="0" xfId="1" applyNumberFormat="1" applyFont="1" applyFill="1" applyBorder="1" applyAlignment="1" applyProtection="1">
      <alignment horizontal="center" vertical="center"/>
      <protection locked="0"/>
    </xf>
    <xf numFmtId="0" fontId="38" fillId="0" borderId="0" xfId="1" applyFont="1" applyBorder="1" applyAlignment="1" applyProtection="1">
      <alignment horizontal="center" vertical="center"/>
    </xf>
    <xf numFmtId="4" fontId="37" fillId="0" borderId="1" xfId="0" applyNumberFormat="1" applyFont="1" applyBorder="1" applyAlignment="1">
      <alignment horizontal="center"/>
    </xf>
    <xf numFmtId="4" fontId="36" fillId="5" borderId="0" xfId="1" applyNumberFormat="1" applyFont="1" applyFill="1" applyBorder="1" applyAlignment="1" applyProtection="1">
      <alignment horizontal="center"/>
      <protection locked="0"/>
    </xf>
    <xf numFmtId="0" fontId="34" fillId="0" borderId="0" xfId="0" applyFont="1" applyAlignment="1">
      <alignment wrapText="1"/>
    </xf>
    <xf numFmtId="0" fontId="34" fillId="5" borderId="0" xfId="0" applyFont="1" applyFill="1" applyAlignment="1">
      <alignment wrapText="1"/>
    </xf>
    <xf numFmtId="4" fontId="34" fillId="0" borderId="5" xfId="0" applyNumberFormat="1" applyFont="1" applyBorder="1" applyAlignment="1">
      <alignment horizontal="center" vertical="center" wrapText="1"/>
    </xf>
    <xf numFmtId="0" fontId="34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52" fillId="0" borderId="0" xfId="0" applyFont="1"/>
    <xf numFmtId="0" fontId="36" fillId="5" borderId="1" xfId="1" applyNumberFormat="1" applyFont="1" applyFill="1" applyBorder="1" applyAlignment="1" applyProtection="1">
      <alignment horizontal="center" wrapText="1"/>
      <protection locked="0"/>
    </xf>
    <xf numFmtId="4" fontId="36" fillId="5" borderId="1" xfId="1" applyNumberFormat="1" applyFont="1" applyFill="1" applyBorder="1" applyAlignment="1" applyProtection="1">
      <alignment horizontal="center" wrapText="1"/>
      <protection locked="0"/>
    </xf>
    <xf numFmtId="0" fontId="49" fillId="0" borderId="0" xfId="0" applyFont="1" applyBorder="1"/>
    <xf numFmtId="0" fontId="0" fillId="0" borderId="0" xfId="0" applyProtection="1">
      <protection locked="0"/>
    </xf>
    <xf numFmtId="0" fontId="34" fillId="0" borderId="0" xfId="0" applyFont="1" applyProtection="1">
      <protection locked="0"/>
    </xf>
    <xf numFmtId="0" fontId="41" fillId="0" borderId="0" xfId="0" applyFont="1" applyProtection="1">
      <protection locked="0"/>
    </xf>
    <xf numFmtId="0" fontId="37" fillId="0" borderId="0" xfId="0" applyFont="1" applyAlignment="1">
      <alignment wrapText="1"/>
    </xf>
    <xf numFmtId="0" fontId="37" fillId="0" borderId="0" xfId="0" applyFont="1" applyFill="1" applyBorder="1" applyAlignment="1">
      <alignment wrapText="1"/>
    </xf>
    <xf numFmtId="4" fontId="36" fillId="0" borderId="0" xfId="0" applyNumberFormat="1" applyFont="1"/>
    <xf numFmtId="4" fontId="36" fillId="0" borderId="0" xfId="0" applyNumberFormat="1" applyFont="1" applyFill="1"/>
    <xf numFmtId="0" fontId="53" fillId="2" borderId="0" xfId="0" applyFont="1" applyFill="1" applyAlignment="1">
      <alignment horizontal="right" wrapText="1" indent="1"/>
    </xf>
    <xf numFmtId="0" fontId="34" fillId="0" borderId="0" xfId="0" applyFont="1" applyAlignment="1" applyProtection="1">
      <alignment vertical="center"/>
      <protection locked="0"/>
    </xf>
    <xf numFmtId="14" fontId="34" fillId="0" borderId="0" xfId="0" applyNumberFormat="1" applyFont="1" applyProtection="1">
      <protection locked="0"/>
    </xf>
    <xf numFmtId="4" fontId="54" fillId="0" borderId="0" xfId="0" applyNumberFormat="1" applyFont="1"/>
    <xf numFmtId="4" fontId="29" fillId="0" borderId="0" xfId="6" applyNumberFormat="1" applyFill="1" applyBorder="1" applyAlignment="1"/>
    <xf numFmtId="4" fontId="44" fillId="0" borderId="0" xfId="6" applyNumberFormat="1" applyFont="1" applyFill="1" applyBorder="1" applyAlignment="1"/>
    <xf numFmtId="0" fontId="29" fillId="0" borderId="0" xfId="6" applyFill="1" applyBorder="1" applyAlignment="1">
      <alignment horizontal="center"/>
    </xf>
    <xf numFmtId="0" fontId="44" fillId="0" borderId="0" xfId="6" applyFont="1" applyFill="1" applyBorder="1" applyAlignment="1">
      <alignment horizontal="center"/>
    </xf>
    <xf numFmtId="0" fontId="29" fillId="0" borderId="0" xfId="6" applyFill="1" applyBorder="1" applyAlignment="1">
      <alignment horizontal="center" vertical="center"/>
    </xf>
    <xf numFmtId="0" fontId="29" fillId="0" borderId="0" xfId="6" applyFill="1" applyBorder="1" applyAlignment="1"/>
    <xf numFmtId="0" fontId="44" fillId="0" borderId="0" xfId="6" applyFont="1" applyFill="1" applyBorder="1" applyAlignment="1"/>
    <xf numFmtId="0" fontId="0" fillId="0" borderId="0" xfId="0" applyFill="1" applyBorder="1"/>
    <xf numFmtId="0" fontId="0" fillId="0" borderId="0" xfId="0" applyFill="1"/>
    <xf numFmtId="0" fontId="55" fillId="0" borderId="0" xfId="0" applyFont="1" applyFill="1" applyBorder="1" applyAlignment="1">
      <alignment horizontal="left"/>
    </xf>
    <xf numFmtId="0" fontId="27" fillId="0" borderId="0" xfId="2" applyFont="1" applyFill="1" applyBorder="1" applyAlignment="1"/>
    <xf numFmtId="4" fontId="36" fillId="3" borderId="1" xfId="1" applyNumberFormat="1" applyFont="1" applyFill="1" applyBorder="1" applyAlignment="1">
      <alignment horizontal="center" vertical="center" wrapText="1"/>
    </xf>
    <xf numFmtId="0" fontId="41" fillId="0" borderId="0" xfId="0" applyFont="1" applyAlignment="1" applyProtection="1">
      <alignment horizontal="left" vertical="center" textRotation="90"/>
      <protection locked="0"/>
    </xf>
    <xf numFmtId="4" fontId="44" fillId="0" borderId="0" xfId="2" applyNumberFormat="1" applyFont="1" applyFill="1" applyBorder="1" applyAlignment="1">
      <alignment horizontal="center"/>
    </xf>
    <xf numFmtId="0" fontId="26" fillId="3" borderId="0" xfId="2" applyFont="1" applyFill="1" applyBorder="1" applyAlignment="1"/>
    <xf numFmtId="0" fontId="44" fillId="3" borderId="0" xfId="0" applyFont="1" applyFill="1" applyBorder="1" applyAlignment="1">
      <alignment horizontal="center" wrapText="1"/>
    </xf>
    <xf numFmtId="0" fontId="44" fillId="3" borderId="0" xfId="0" applyFont="1" applyFill="1" applyBorder="1" applyAlignment="1">
      <alignment horizontal="right" wrapText="1"/>
    </xf>
    <xf numFmtId="0" fontId="0" fillId="3" borderId="0" xfId="0" applyFill="1" applyBorder="1"/>
    <xf numFmtId="0" fontId="34" fillId="3" borderId="0" xfId="0" applyFont="1" applyFill="1" applyAlignment="1">
      <alignment wrapText="1"/>
    </xf>
    <xf numFmtId="0" fontId="0" fillId="3" borderId="0" xfId="0" applyFill="1"/>
    <xf numFmtId="0" fontId="23" fillId="3" borderId="0" xfId="2" applyFont="1" applyFill="1" applyBorder="1" applyAlignment="1"/>
    <xf numFmtId="2" fontId="44" fillId="3" borderId="0" xfId="0" applyNumberFormat="1" applyFont="1" applyFill="1" applyBorder="1" applyAlignment="1">
      <alignment horizontal="right" wrapText="1"/>
    </xf>
    <xf numFmtId="0" fontId="28" fillId="0" borderId="0" xfId="6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28" fillId="0" borderId="0" xfId="2" applyFont="1" applyFill="1" applyBorder="1" applyAlignment="1"/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/>
    <xf numFmtId="0" fontId="25" fillId="0" borderId="0" xfId="2" applyFont="1" applyFill="1" applyBorder="1" applyAlignment="1"/>
    <xf numFmtId="0" fontId="44" fillId="0" borderId="0" xfId="0" applyFont="1" applyFill="1" applyBorder="1" applyAlignment="1">
      <alignment horizontal="center" wrapText="1"/>
    </xf>
    <xf numFmtId="0" fontId="44" fillId="0" borderId="0" xfId="0" applyFont="1" applyFill="1" applyBorder="1" applyAlignment="1">
      <alignment horizontal="right" wrapText="1"/>
    </xf>
    <xf numFmtId="0" fontId="24" fillId="0" borderId="0" xfId="2" applyFont="1" applyFill="1" applyBorder="1" applyAlignment="1"/>
    <xf numFmtId="2" fontId="44" fillId="0" borderId="0" xfId="0" applyNumberFormat="1" applyFont="1" applyFill="1" applyBorder="1" applyAlignment="1">
      <alignment horizontal="right" wrapText="1"/>
    </xf>
    <xf numFmtId="0" fontId="36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left"/>
    </xf>
    <xf numFmtId="4" fontId="37" fillId="0" borderId="0" xfId="0" applyNumberFormat="1" applyFont="1" applyFill="1"/>
    <xf numFmtId="4" fontId="36" fillId="0" borderId="0" xfId="0" applyNumberFormat="1" applyFont="1" applyFill="1" applyBorder="1"/>
    <xf numFmtId="0" fontId="37" fillId="0" borderId="0" xfId="0" applyFont="1" applyBorder="1" applyAlignment="1">
      <alignment wrapText="1"/>
    </xf>
    <xf numFmtId="0" fontId="22" fillId="0" borderId="0" xfId="6" applyFont="1" applyFill="1" applyBorder="1" applyAlignment="1"/>
    <xf numFmtId="0" fontId="22" fillId="0" borderId="0" xfId="2" applyFont="1" applyFill="1" applyBorder="1" applyAlignment="1"/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19" fillId="0" borderId="0" xfId="6" applyFont="1" applyFill="1" applyBorder="1" applyAlignment="1">
      <alignment horizontal="center"/>
    </xf>
    <xf numFmtId="0" fontId="18" fillId="0" borderId="0" xfId="6" applyFont="1" applyFill="1" applyBorder="1" applyAlignment="1">
      <alignment horizontal="center"/>
    </xf>
    <xf numFmtId="0" fontId="16" fillId="0" borderId="0" xfId="6" applyFont="1" applyFill="1" applyBorder="1" applyAlignment="1"/>
    <xf numFmtId="0" fontId="17" fillId="0" borderId="0" xfId="5" applyFont="1" applyFill="1" applyBorder="1" applyAlignment="1"/>
    <xf numFmtId="0" fontId="17" fillId="0" borderId="0" xfId="20" applyFont="1" applyFill="1" applyBorder="1" applyAlignment="1">
      <alignment horizontal="center"/>
    </xf>
    <xf numFmtId="0" fontId="20" fillId="0" borderId="0" xfId="20" applyFill="1" applyBorder="1" applyAlignment="1">
      <alignment horizontal="center"/>
    </xf>
    <xf numFmtId="4" fontId="44" fillId="0" borderId="0" xfId="20" applyNumberFormat="1" applyFont="1" applyFill="1" applyBorder="1" applyAlignment="1"/>
    <xf numFmtId="4" fontId="44" fillId="0" borderId="0" xfId="0" applyNumberFormat="1" applyFont="1" applyFill="1" applyBorder="1" applyAlignment="1">
      <alignment horizontal="left"/>
    </xf>
    <xf numFmtId="0" fontId="17" fillId="0" borderId="0" xfId="20" applyFont="1" applyFill="1" applyBorder="1" applyAlignment="1"/>
    <xf numFmtId="0" fontId="44" fillId="0" borderId="0" xfId="20" applyFont="1" applyFill="1" applyBorder="1" applyAlignment="1">
      <alignment horizontal="center"/>
    </xf>
    <xf numFmtId="4" fontId="0" fillId="0" borderId="0" xfId="0" applyNumberFormat="1" applyBorder="1"/>
    <xf numFmtId="4" fontId="46" fillId="3" borderId="0" xfId="8" applyNumberFormat="1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14" fillId="0" borderId="0" xfId="12" applyFont="1" applyFill="1" applyBorder="1" applyAlignment="1">
      <alignment wrapText="1"/>
    </xf>
    <xf numFmtId="0" fontId="13" fillId="0" borderId="0" xfId="12" applyFont="1" applyFill="1" applyBorder="1"/>
    <xf numFmtId="0" fontId="14" fillId="0" borderId="0" xfId="6" applyFont="1" applyFill="1" applyBorder="1" applyAlignment="1">
      <alignment horizontal="center"/>
    </xf>
    <xf numFmtId="0" fontId="12" fillId="0" borderId="0" xfId="6" applyFont="1" applyFill="1" applyBorder="1" applyAlignment="1">
      <alignment horizontal="center"/>
    </xf>
    <xf numFmtId="0" fontId="0" fillId="0" borderId="0" xfId="0" applyFill="1" applyBorder="1" applyAlignment="1"/>
    <xf numFmtId="0" fontId="10" fillId="0" borderId="0" xfId="6" applyFont="1" applyFill="1" applyBorder="1" applyAlignment="1"/>
    <xf numFmtId="0" fontId="11" fillId="0" borderId="0" xfId="6" applyFont="1" applyFill="1" applyBorder="1" applyAlignment="1">
      <alignment horizontal="center" vertical="center"/>
    </xf>
    <xf numFmtId="0" fontId="7" fillId="0" borderId="0" xfId="5" applyFont="1" applyFill="1" applyBorder="1"/>
    <xf numFmtId="0" fontId="9" fillId="0" borderId="0" xfId="6" applyFont="1" applyFill="1" applyBorder="1" applyAlignment="1">
      <alignment wrapText="1"/>
    </xf>
    <xf numFmtId="0" fontId="9" fillId="0" borderId="0" xfId="6" applyFont="1" applyFill="1" applyBorder="1" applyAlignment="1">
      <alignment horizontal="center"/>
    </xf>
    <xf numFmtId="0" fontId="7" fillId="0" borderId="0" xfId="6" applyFont="1" applyFill="1" applyBorder="1"/>
    <xf numFmtId="0" fontId="15" fillId="0" borderId="0" xfId="6" applyFont="1" applyFill="1" applyBorder="1" applyAlignment="1">
      <alignment horizontal="center"/>
    </xf>
    <xf numFmtId="0" fontId="8" fillId="0" borderId="0" xfId="6" applyFont="1" applyFill="1" applyBorder="1" applyAlignment="1">
      <alignment wrapText="1"/>
    </xf>
    <xf numFmtId="0" fontId="8" fillId="0" borderId="0" xfId="6" applyFont="1" applyFill="1" applyBorder="1" applyAlignment="1">
      <alignment horizontal="center"/>
    </xf>
    <xf numFmtId="0" fontId="7" fillId="0" borderId="0" xfId="12" applyFont="1" applyFill="1" applyBorder="1"/>
    <xf numFmtId="0" fontId="55" fillId="0" borderId="0" xfId="6" applyFont="1" applyFill="1" applyBorder="1" applyAlignment="1">
      <alignment horizontal="center"/>
    </xf>
    <xf numFmtId="0" fontId="29" fillId="0" borderId="0" xfId="6" applyNumberFormat="1" applyFill="1" applyBorder="1" applyAlignment="1">
      <alignment horizontal="center"/>
    </xf>
    <xf numFmtId="4" fontId="29" fillId="0" borderId="0" xfId="6" applyNumberFormat="1" applyFill="1" applyBorder="1" applyAlignment="1">
      <alignment vertical="center"/>
    </xf>
    <xf numFmtId="0" fontId="44" fillId="0" borderId="0" xfId="7" applyFont="1" applyFill="1" applyBorder="1" applyAlignment="1"/>
    <xf numFmtId="0" fontId="5" fillId="0" borderId="0" xfId="7" applyFont="1" applyFill="1" applyBorder="1" applyAlignment="1">
      <alignment horizontal="center"/>
    </xf>
    <xf numFmtId="0" fontId="21" fillId="0" borderId="0" xfId="7" applyFill="1" applyBorder="1" applyAlignment="1">
      <alignment horizontal="center"/>
    </xf>
    <xf numFmtId="4" fontId="21" fillId="0" borderId="0" xfId="7" applyNumberFormat="1" applyFill="1" applyBorder="1" applyAlignment="1"/>
    <xf numFmtId="0" fontId="44" fillId="0" borderId="0" xfId="7" applyFont="1" applyFill="1" applyBorder="1"/>
    <xf numFmtId="0" fontId="6" fillId="0" borderId="0" xfId="7" applyFont="1" applyFill="1" applyBorder="1" applyAlignment="1">
      <alignment horizontal="center"/>
    </xf>
    <xf numFmtId="0" fontId="4" fillId="0" borderId="0" xfId="6" applyFont="1" applyFill="1" applyBorder="1" applyAlignment="1">
      <alignment wrapText="1"/>
    </xf>
    <xf numFmtId="0" fontId="4" fillId="0" borderId="0" xfId="6" applyFont="1" applyFill="1" applyBorder="1" applyAlignment="1">
      <alignment horizontal="center"/>
    </xf>
    <xf numFmtId="0" fontId="2" fillId="0" borderId="0" xfId="6" applyFont="1" applyFill="1" applyBorder="1"/>
    <xf numFmtId="0" fontId="3" fillId="0" borderId="0" xfId="6" applyFont="1" applyFill="1" applyBorder="1" applyAlignment="1">
      <alignment horizontal="center"/>
    </xf>
    <xf numFmtId="0" fontId="44" fillId="0" borderId="0" xfId="6" applyFont="1" applyFill="1" applyBorder="1" applyAlignment="1">
      <alignment wrapText="1"/>
    </xf>
    <xf numFmtId="4" fontId="44" fillId="0" borderId="0" xfId="6" applyNumberFormat="1" applyFont="1" applyFill="1" applyBorder="1" applyAlignment="1">
      <alignment horizontal="right"/>
    </xf>
    <xf numFmtId="0" fontId="1" fillId="0" borderId="0" xfId="6" applyFont="1" applyFill="1" applyBorder="1" applyAlignment="1">
      <alignment wrapText="1"/>
    </xf>
    <xf numFmtId="4" fontId="0" fillId="0" borderId="0" xfId="0" applyNumberFormat="1" applyBorder="1" applyProtection="1">
      <protection locked="0"/>
    </xf>
    <xf numFmtId="0" fontId="36" fillId="3" borderId="1" xfId="0" applyFont="1" applyFill="1" applyBorder="1" applyAlignment="1">
      <alignment horizontal="left" vertical="center" wrapText="1"/>
    </xf>
    <xf numFmtId="4" fontId="36" fillId="3" borderId="1" xfId="1" applyNumberFormat="1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/>
    </xf>
    <xf numFmtId="0" fontId="34" fillId="0" borderId="0" xfId="0" applyFont="1" applyAlignment="1">
      <alignment horizontal="left" wrapText="1"/>
    </xf>
    <xf numFmtId="0" fontId="40" fillId="0" borderId="0" xfId="0" applyFont="1" applyAlignment="1">
      <alignment horizontal="center" wrapText="1"/>
    </xf>
    <xf numFmtId="0" fontId="42" fillId="0" borderId="0" xfId="0" applyFont="1" applyBorder="1" applyAlignment="1">
      <alignment horizontal="left" wrapText="1"/>
    </xf>
    <xf numFmtId="0" fontId="36" fillId="3" borderId="1" xfId="0" applyFont="1" applyFill="1" applyBorder="1" applyAlignment="1">
      <alignment horizontal="center" vertical="center" wrapText="1"/>
    </xf>
    <xf numFmtId="0" fontId="41" fillId="0" borderId="0" xfId="0" applyFont="1" applyAlignment="1" applyProtection="1">
      <alignment horizontal="center" vertical="center" textRotation="90" wrapText="1"/>
      <protection locked="0"/>
    </xf>
    <xf numFmtId="0" fontId="36" fillId="0" borderId="1" xfId="1" applyFont="1" applyBorder="1" applyAlignment="1">
      <alignment horizontal="left" wrapText="1"/>
    </xf>
    <xf numFmtId="0" fontId="37" fillId="0" borderId="1" xfId="0" applyFont="1" applyBorder="1" applyAlignment="1">
      <alignment horizontal="center" vertical="center" wrapText="1"/>
    </xf>
    <xf numFmtId="4" fontId="38" fillId="0" borderId="1" xfId="1" applyNumberFormat="1" applyFont="1" applyBorder="1" applyAlignment="1">
      <alignment horizontal="center" vertical="center"/>
    </xf>
    <xf numFmtId="0" fontId="38" fillId="0" borderId="1" xfId="1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0" fontId="38" fillId="0" borderId="1" xfId="1" applyFont="1" applyBorder="1" applyAlignment="1">
      <alignment horizontal="left" vertical="center"/>
    </xf>
    <xf numFmtId="0" fontId="36" fillId="0" borderId="1" xfId="1" applyFont="1" applyBorder="1" applyAlignment="1">
      <alignment horizontal="left" vertical="center" wrapText="1"/>
    </xf>
    <xf numFmtId="0" fontId="36" fillId="0" borderId="2" xfId="1" applyFont="1" applyBorder="1" applyAlignment="1">
      <alignment horizontal="left" wrapText="1"/>
    </xf>
    <xf numFmtId="0" fontId="36" fillId="0" borderId="3" xfId="1" applyFont="1" applyBorder="1" applyAlignment="1">
      <alignment horizontal="left" wrapText="1"/>
    </xf>
    <xf numFmtId="0" fontId="36" fillId="0" borderId="4" xfId="1" applyFont="1" applyBorder="1" applyAlignment="1">
      <alignment horizontal="left" wrapText="1"/>
    </xf>
    <xf numFmtId="0" fontId="36" fillId="0" borderId="1" xfId="0" applyFont="1" applyBorder="1" applyAlignment="1">
      <alignment horizontal="left" wrapText="1"/>
    </xf>
    <xf numFmtId="0" fontId="36" fillId="0" borderId="2" xfId="0" applyFont="1" applyBorder="1" applyAlignment="1" applyProtection="1">
      <alignment horizontal="left" wrapText="1"/>
    </xf>
    <xf numFmtId="0" fontId="36" fillId="0" borderId="3" xfId="0" applyFont="1" applyBorder="1" applyAlignment="1" applyProtection="1">
      <alignment horizontal="left" wrapText="1"/>
    </xf>
    <xf numFmtId="0" fontId="36" fillId="0" borderId="4" xfId="0" applyFont="1" applyBorder="1" applyAlignment="1" applyProtection="1">
      <alignment horizontal="left" wrapText="1"/>
    </xf>
    <xf numFmtId="0" fontId="40" fillId="0" borderId="0" xfId="0" applyFont="1" applyAlignment="1" applyProtection="1">
      <alignment horizontal="center" wrapText="1"/>
      <protection locked="0"/>
    </xf>
    <xf numFmtId="0" fontId="41" fillId="0" borderId="0" xfId="0" applyFont="1" applyAlignment="1" applyProtection="1">
      <alignment horizontal="left" textRotation="90"/>
      <protection locked="0"/>
    </xf>
    <xf numFmtId="0" fontId="41" fillId="0" borderId="0" xfId="0" applyFont="1" applyAlignment="1" applyProtection="1">
      <alignment horizontal="left" vertical="center" textRotation="90"/>
      <protection locked="0"/>
    </xf>
    <xf numFmtId="0" fontId="41" fillId="0" borderId="0" xfId="0" applyFont="1" applyAlignment="1" applyProtection="1">
      <alignment horizontal="left" vertical="center" textRotation="90" wrapText="1"/>
      <protection locked="0"/>
    </xf>
    <xf numFmtId="0" fontId="41" fillId="0" borderId="0" xfId="0" applyFont="1" applyAlignment="1">
      <alignment horizontal="left" vertical="center" textRotation="90"/>
    </xf>
    <xf numFmtId="0" fontId="34" fillId="0" borderId="0" xfId="0" applyFont="1" applyFill="1" applyBorder="1" applyAlignment="1">
      <alignment horizontal="left" wrapText="1"/>
    </xf>
    <xf numFmtId="0" fontId="34" fillId="0" borderId="0" xfId="0" applyFont="1" applyAlignment="1">
      <alignment horizontal="justify" wrapText="1"/>
    </xf>
    <xf numFmtId="0" fontId="41" fillId="0" borderId="0" xfId="0" applyFont="1" applyBorder="1" applyAlignment="1" applyProtection="1">
      <alignment horizontal="left" vertical="center" textRotation="90"/>
      <protection locked="0"/>
    </xf>
    <xf numFmtId="0" fontId="41" fillId="0" borderId="0" xfId="0" applyFont="1" applyBorder="1" applyAlignment="1" applyProtection="1">
      <alignment horizontal="left" vertical="center" textRotation="90" wrapText="1"/>
      <protection locked="0"/>
    </xf>
    <xf numFmtId="0" fontId="51" fillId="0" borderId="0" xfId="0" applyFont="1" applyBorder="1" applyAlignment="1" applyProtection="1">
      <alignment horizontal="center" vertical="center" textRotation="90" wrapText="1"/>
      <protection locked="0"/>
    </xf>
  </cellXfs>
  <cellStyles count="23">
    <cellStyle name="Обычный" xfId="0" builtinId="0"/>
    <cellStyle name="Обычный 2" xfId="1"/>
    <cellStyle name="Обычный 2 2" xfId="3"/>
    <cellStyle name="Обычный 2 3" xfId="18"/>
    <cellStyle name="Обычный 2 4" xfId="13"/>
    <cellStyle name="Обычный 2 5" xfId="8"/>
    <cellStyle name="Обычный 3" xfId="2"/>
    <cellStyle name="Обычный 3 2" xfId="19"/>
    <cellStyle name="Обычный 3 3" xfId="14"/>
    <cellStyle name="Обычный 3 4" xfId="9"/>
    <cellStyle name="Обычный 4" xfId="4"/>
    <cellStyle name="Обычный 4 2" xfId="20"/>
    <cellStyle name="Обычный 4 3" xfId="15"/>
    <cellStyle name="Обычный 4 4" xfId="10"/>
    <cellStyle name="Обычный 5" xfId="5"/>
    <cellStyle name="Обычный 5 2" xfId="21"/>
    <cellStyle name="Обычный 5 3" xfId="7"/>
    <cellStyle name="Обычный 5 3 2" xfId="16"/>
    <cellStyle name="Обычный 5 4" xfId="22"/>
    <cellStyle name="Обычный 5 5" xfId="11"/>
    <cellStyle name="Обычный 6" xfId="6"/>
    <cellStyle name="Обычный 6 2" xfId="17"/>
    <cellStyle name="Обычный 6 3" xfId="1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53"/>
  <sheetViews>
    <sheetView tabSelected="1" view="pageBreakPreview" zoomScaleNormal="100" zoomScaleSheetLayoutView="100" workbookViewId="0">
      <selection activeCell="F43" sqref="F43:G59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.710937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6"/>
      <c r="L1" s="106"/>
      <c r="M1" s="106"/>
      <c r="N1" s="106"/>
    </row>
    <row r="2" spans="1:18" ht="42" customHeight="1">
      <c r="A2" s="226" t="s">
        <v>182</v>
      </c>
      <c r="B2" s="226"/>
      <c r="C2" s="226"/>
      <c r="D2" s="226"/>
      <c r="E2" s="226"/>
      <c r="F2" s="226"/>
      <c r="G2" s="226"/>
      <c r="H2" s="226"/>
      <c r="I2" s="226"/>
      <c r="J2" s="226"/>
      <c r="K2" s="106"/>
      <c r="L2" s="106"/>
      <c r="M2" s="106"/>
      <c r="N2" s="106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6"/>
      <c r="L3" s="106"/>
      <c r="M3" s="106"/>
      <c r="N3" s="106"/>
    </row>
    <row r="4" spans="1:18">
      <c r="A4" s="1" t="s">
        <v>0</v>
      </c>
      <c r="E4" s="114">
        <v>44562</v>
      </c>
      <c r="K4" s="106"/>
      <c r="L4" s="106"/>
      <c r="M4" s="106"/>
      <c r="N4" s="106"/>
    </row>
    <row r="5" spans="1:18">
      <c r="A5" s="1" t="s">
        <v>1</v>
      </c>
      <c r="E5" s="114">
        <v>44926</v>
      </c>
      <c r="K5" s="106"/>
      <c r="L5" s="106"/>
      <c r="M5" s="106"/>
      <c r="N5" s="106"/>
    </row>
    <row r="6" spans="1:18" ht="12" customHeight="1">
      <c r="E6" s="3"/>
      <c r="K6" s="106"/>
      <c r="L6" s="106"/>
      <c r="M6" s="106"/>
      <c r="N6" s="106"/>
    </row>
    <row r="7" spans="1:18">
      <c r="A7" s="11" t="s">
        <v>33</v>
      </c>
      <c r="K7" s="106"/>
      <c r="L7" s="106"/>
      <c r="M7" s="106"/>
      <c r="N7" s="106"/>
    </row>
    <row r="8" spans="1:18" ht="18.75" customHeight="1" outlineLevel="1">
      <c r="A8" s="223" t="s">
        <v>2</v>
      </c>
      <c r="B8" s="224"/>
      <c r="C8" s="224"/>
      <c r="D8" s="224"/>
      <c r="E8" s="224"/>
      <c r="F8" s="224"/>
      <c r="G8" s="224"/>
      <c r="H8" s="224"/>
      <c r="I8" s="225"/>
      <c r="J8" s="17">
        <f t="shared" ref="J8:J24" si="0">VLOOKUP(O8,АО,3,FALSE)</f>
        <v>0</v>
      </c>
      <c r="K8" s="106"/>
      <c r="L8" s="227"/>
      <c r="M8" s="106"/>
      <c r="N8" s="106"/>
      <c r="O8" s="67" t="s">
        <v>83</v>
      </c>
      <c r="R8" s="16"/>
    </row>
    <row r="9" spans="1:18" ht="18.75" customHeight="1" outlineLevel="1">
      <c r="A9" s="223" t="s">
        <v>3</v>
      </c>
      <c r="B9" s="224"/>
      <c r="C9" s="224"/>
      <c r="D9" s="224"/>
      <c r="E9" s="224"/>
      <c r="F9" s="224"/>
      <c r="G9" s="224"/>
      <c r="H9" s="224"/>
      <c r="I9" s="225"/>
      <c r="J9" s="17">
        <f t="shared" si="0"/>
        <v>0</v>
      </c>
      <c r="K9" s="106"/>
      <c r="L9" s="227"/>
      <c r="M9" s="106"/>
      <c r="N9" s="106"/>
      <c r="O9" s="67" t="s">
        <v>84</v>
      </c>
    </row>
    <row r="10" spans="1:18" ht="18.75" customHeight="1" outlineLevel="1">
      <c r="A10" s="223" t="s">
        <v>4</v>
      </c>
      <c r="B10" s="224"/>
      <c r="C10" s="224"/>
      <c r="D10" s="224"/>
      <c r="E10" s="224"/>
      <c r="F10" s="224"/>
      <c r="G10" s="224"/>
      <c r="H10" s="224"/>
      <c r="I10" s="225"/>
      <c r="J10" s="17">
        <f t="shared" si="0"/>
        <v>321995.76400000043</v>
      </c>
      <c r="K10" s="106"/>
      <c r="L10" s="227"/>
      <c r="M10" s="106"/>
      <c r="N10" s="106"/>
      <c r="O10" s="67" t="s">
        <v>85</v>
      </c>
    </row>
    <row r="11" spans="1:18" outlineLevel="1">
      <c r="A11" s="223" t="s">
        <v>5</v>
      </c>
      <c r="B11" s="224"/>
      <c r="C11" s="224"/>
      <c r="D11" s="224"/>
      <c r="E11" s="224"/>
      <c r="F11" s="224"/>
      <c r="G11" s="224"/>
      <c r="H11" s="224"/>
      <c r="I11" s="225"/>
      <c r="J11" s="17">
        <f t="shared" si="0"/>
        <v>2282471.9279999998</v>
      </c>
      <c r="K11" s="106"/>
      <c r="L11" s="227"/>
      <c r="M11" s="106"/>
      <c r="N11" s="106"/>
      <c r="O11" s="67" t="s">
        <v>86</v>
      </c>
    </row>
    <row r="12" spans="1:18" ht="18.75" customHeight="1" outlineLevel="1">
      <c r="A12" s="223" t="s">
        <v>6</v>
      </c>
      <c r="B12" s="224"/>
      <c r="C12" s="224"/>
      <c r="D12" s="224"/>
      <c r="E12" s="224"/>
      <c r="F12" s="224"/>
      <c r="G12" s="224"/>
      <c r="H12" s="224"/>
      <c r="I12" s="225"/>
      <c r="J12" s="17">
        <f t="shared" si="0"/>
        <v>1281121.8839999998</v>
      </c>
      <c r="K12" s="106"/>
      <c r="L12" s="227"/>
      <c r="M12" s="106"/>
      <c r="N12" s="106"/>
      <c r="O12" s="67" t="s">
        <v>87</v>
      </c>
    </row>
    <row r="13" spans="1:18" ht="18.75" customHeight="1" outlineLevel="1">
      <c r="A13" s="223" t="s">
        <v>7</v>
      </c>
      <c r="B13" s="224"/>
      <c r="C13" s="224"/>
      <c r="D13" s="224"/>
      <c r="E13" s="224"/>
      <c r="F13" s="224"/>
      <c r="G13" s="224"/>
      <c r="H13" s="224"/>
      <c r="I13" s="225"/>
      <c r="J13" s="17">
        <f t="shared" si="0"/>
        <v>552549.38399999996</v>
      </c>
      <c r="K13" s="106"/>
      <c r="L13" s="227"/>
      <c r="M13" s="106"/>
      <c r="N13" s="106"/>
      <c r="O13" s="67" t="s">
        <v>88</v>
      </c>
    </row>
    <row r="14" spans="1:18" ht="18.75" customHeight="1" outlineLevel="1">
      <c r="A14" s="223" t="s">
        <v>8</v>
      </c>
      <c r="B14" s="224"/>
      <c r="C14" s="224"/>
      <c r="D14" s="224"/>
      <c r="E14" s="224"/>
      <c r="F14" s="224"/>
      <c r="G14" s="224"/>
      <c r="H14" s="224"/>
      <c r="I14" s="225"/>
      <c r="J14" s="17">
        <f t="shared" si="0"/>
        <v>448800.66</v>
      </c>
      <c r="K14" s="106"/>
      <c r="L14" s="227"/>
      <c r="M14" s="106"/>
      <c r="N14" s="106"/>
      <c r="O14" s="67" t="s">
        <v>89</v>
      </c>
    </row>
    <row r="15" spans="1:18" ht="18.75" customHeight="1" outlineLevel="1">
      <c r="A15" s="223" t="s">
        <v>9</v>
      </c>
      <c r="B15" s="224"/>
      <c r="C15" s="224"/>
      <c r="D15" s="224"/>
      <c r="E15" s="224"/>
      <c r="F15" s="224"/>
      <c r="G15" s="224"/>
      <c r="H15" s="224"/>
      <c r="I15" s="225"/>
      <c r="J15" s="17">
        <f t="shared" si="0"/>
        <v>2340875.3099999996</v>
      </c>
      <c r="K15" s="106"/>
      <c r="L15" s="227"/>
      <c r="M15" s="106"/>
      <c r="N15" s="106"/>
      <c r="O15" s="67" t="s">
        <v>90</v>
      </c>
    </row>
    <row r="16" spans="1:18" ht="18.75" customHeight="1" outlineLevel="1">
      <c r="A16" s="223" t="s">
        <v>10</v>
      </c>
      <c r="B16" s="224"/>
      <c r="C16" s="224"/>
      <c r="D16" s="224"/>
      <c r="E16" s="224"/>
      <c r="F16" s="224"/>
      <c r="G16" s="224"/>
      <c r="H16" s="224"/>
      <c r="I16" s="225"/>
      <c r="J16" s="17">
        <f t="shared" si="0"/>
        <v>2340875.3099999996</v>
      </c>
      <c r="K16" s="106"/>
      <c r="L16" s="227"/>
      <c r="M16" s="106"/>
      <c r="N16" s="106"/>
      <c r="O16" s="67" t="s">
        <v>91</v>
      </c>
    </row>
    <row r="17" spans="1:23" ht="18.75" customHeight="1" outlineLevel="1">
      <c r="A17" s="223" t="s">
        <v>11</v>
      </c>
      <c r="B17" s="224"/>
      <c r="C17" s="224"/>
      <c r="D17" s="224"/>
      <c r="E17" s="224"/>
      <c r="F17" s="224"/>
      <c r="G17" s="224"/>
      <c r="H17" s="224"/>
      <c r="I17" s="225"/>
      <c r="J17" s="17">
        <f t="shared" si="0"/>
        <v>0</v>
      </c>
      <c r="K17" s="106"/>
      <c r="L17" s="227"/>
      <c r="M17" s="106"/>
      <c r="N17" s="106"/>
      <c r="O17" s="67" t="s">
        <v>92</v>
      </c>
    </row>
    <row r="18" spans="1:23" ht="18.75" customHeight="1" outlineLevel="1">
      <c r="A18" s="223" t="s">
        <v>12</v>
      </c>
      <c r="B18" s="224"/>
      <c r="C18" s="224"/>
      <c r="D18" s="224"/>
      <c r="E18" s="224"/>
      <c r="F18" s="224"/>
      <c r="G18" s="224"/>
      <c r="H18" s="224"/>
      <c r="I18" s="225"/>
      <c r="J18" s="17">
        <f t="shared" si="0"/>
        <v>0</v>
      </c>
      <c r="K18" s="106"/>
      <c r="L18" s="227"/>
      <c r="M18" s="106"/>
      <c r="N18" s="106"/>
      <c r="O18" s="67" t="s">
        <v>93</v>
      </c>
    </row>
    <row r="19" spans="1:23" ht="18.75" customHeight="1" outlineLevel="1">
      <c r="A19" s="223" t="s">
        <v>13</v>
      </c>
      <c r="B19" s="224"/>
      <c r="C19" s="224"/>
      <c r="D19" s="224"/>
      <c r="E19" s="224"/>
      <c r="F19" s="224"/>
      <c r="G19" s="224"/>
      <c r="H19" s="224"/>
      <c r="I19" s="225"/>
      <c r="J19" s="17">
        <f t="shared" si="0"/>
        <v>0</v>
      </c>
      <c r="K19" s="106"/>
      <c r="L19" s="227"/>
      <c r="M19" s="106"/>
      <c r="N19" s="106"/>
      <c r="O19" s="67" t="s">
        <v>94</v>
      </c>
    </row>
    <row r="20" spans="1:23" ht="18.75" customHeight="1" outlineLevel="1">
      <c r="A20" s="223" t="s">
        <v>14</v>
      </c>
      <c r="B20" s="224"/>
      <c r="C20" s="224"/>
      <c r="D20" s="224"/>
      <c r="E20" s="224"/>
      <c r="F20" s="224"/>
      <c r="G20" s="224"/>
      <c r="H20" s="224"/>
      <c r="I20" s="225"/>
      <c r="J20" s="17">
        <f t="shared" si="0"/>
        <v>0</v>
      </c>
      <c r="K20" s="106"/>
      <c r="L20" s="227"/>
      <c r="M20" s="106"/>
      <c r="N20" s="106"/>
      <c r="O20" s="67" t="s">
        <v>95</v>
      </c>
    </row>
    <row r="21" spans="1:23" ht="18.75" customHeight="1" outlineLevel="1">
      <c r="A21" s="223" t="s">
        <v>15</v>
      </c>
      <c r="B21" s="224"/>
      <c r="C21" s="224"/>
      <c r="D21" s="224"/>
      <c r="E21" s="224"/>
      <c r="F21" s="224"/>
      <c r="G21" s="224"/>
      <c r="H21" s="224"/>
      <c r="I21" s="225"/>
      <c r="J21" s="17">
        <f t="shared" si="0"/>
        <v>2340875.3099999996</v>
      </c>
      <c r="K21" s="106"/>
      <c r="L21" s="227"/>
      <c r="M21" s="106"/>
      <c r="N21" s="106"/>
      <c r="O21" s="67" t="s">
        <v>96</v>
      </c>
    </row>
    <row r="22" spans="1:23" ht="18.75" customHeight="1" outlineLevel="1">
      <c r="A22" s="223" t="s">
        <v>16</v>
      </c>
      <c r="B22" s="224"/>
      <c r="C22" s="224"/>
      <c r="D22" s="224"/>
      <c r="E22" s="224"/>
      <c r="F22" s="224"/>
      <c r="G22" s="224"/>
      <c r="H22" s="224"/>
      <c r="I22" s="225"/>
      <c r="J22" s="17">
        <f t="shared" si="0"/>
        <v>0</v>
      </c>
      <c r="K22" s="106"/>
      <c r="L22" s="227"/>
      <c r="M22" s="106"/>
      <c r="N22" s="106"/>
      <c r="O22" s="67" t="s">
        <v>97</v>
      </c>
    </row>
    <row r="23" spans="1:23" ht="18.75" customHeight="1" outlineLevel="1">
      <c r="A23" s="223" t="s">
        <v>17</v>
      </c>
      <c r="B23" s="224"/>
      <c r="C23" s="224"/>
      <c r="D23" s="224"/>
      <c r="E23" s="224"/>
      <c r="F23" s="224"/>
      <c r="G23" s="224"/>
      <c r="H23" s="224"/>
      <c r="I23" s="225"/>
      <c r="J23" s="17">
        <f t="shared" si="0"/>
        <v>0</v>
      </c>
      <c r="K23" s="106"/>
      <c r="L23" s="227"/>
      <c r="M23" s="106"/>
      <c r="N23" s="106"/>
      <c r="O23" s="67" t="s">
        <v>98</v>
      </c>
    </row>
    <row r="24" spans="1:23" ht="18.75" customHeight="1" outlineLevel="1">
      <c r="A24" s="223" t="s">
        <v>18</v>
      </c>
      <c r="B24" s="224"/>
      <c r="C24" s="224"/>
      <c r="D24" s="224"/>
      <c r="E24" s="224"/>
      <c r="F24" s="224"/>
      <c r="G24" s="224"/>
      <c r="H24" s="224"/>
      <c r="I24" s="225"/>
      <c r="J24" s="17">
        <f t="shared" si="0"/>
        <v>263592.38200000068</v>
      </c>
      <c r="K24" s="106"/>
      <c r="L24" s="227"/>
      <c r="M24" s="106"/>
      <c r="N24" s="106"/>
      <c r="O24" s="67" t="s">
        <v>99</v>
      </c>
    </row>
    <row r="25" spans="1:23">
      <c r="A25" s="4"/>
      <c r="K25" s="106"/>
      <c r="L25" s="106"/>
      <c r="M25" s="106"/>
      <c r="N25" s="106"/>
    </row>
    <row r="26" spans="1:23">
      <c r="A26" s="11" t="s">
        <v>32</v>
      </c>
      <c r="K26" s="106"/>
      <c r="L26" s="106"/>
      <c r="M26" s="106"/>
      <c r="N26" s="106"/>
    </row>
    <row r="27" spans="1:23" ht="92.25" customHeight="1" outlineLevel="1">
      <c r="A27" s="210" t="s">
        <v>19</v>
      </c>
      <c r="B27" s="210"/>
      <c r="C27" s="210"/>
      <c r="D27" s="210"/>
      <c r="E27" s="210"/>
      <c r="F27" s="210" t="s">
        <v>20</v>
      </c>
      <c r="G27" s="210"/>
      <c r="H27" s="5" t="s">
        <v>57</v>
      </c>
      <c r="I27" s="210" t="s">
        <v>21</v>
      </c>
      <c r="J27" s="210"/>
      <c r="K27" s="106"/>
      <c r="L27" s="228"/>
      <c r="M27" s="106"/>
      <c r="N27" s="106"/>
      <c r="W27" s="1" t="e">
        <f>INDEX(ПТО!$A$59:$B$73,SMALL(IF(ПТО!$L$59=ПТО!L59:L73,ROW(ПТО!$A$59:$B$73)-32,""),ROW()-27))</f>
        <v>#VALUE!</v>
      </c>
    </row>
    <row r="28" spans="1:23" ht="43.5" customHeight="1" outlineLevel="1">
      <c r="A28" s="204" t="str">
        <f>ПТО!A59</f>
        <v>Работы, выполняемые для надлежащего содержания внутридомовых инженерных систем и конструктивных элементов дома</v>
      </c>
      <c r="B28" s="204"/>
      <c r="C28" s="204"/>
      <c r="D28" s="204"/>
      <c r="E28" s="204"/>
      <c r="F28" s="205">
        <f>VLOOKUP(A28,ПТО!$A$59:$D$73,2,FALSE)</f>
        <v>502423.55999999994</v>
      </c>
      <c r="G28" s="205"/>
      <c r="H28" s="6" t="str">
        <f>VLOOKUP(A28,ПТО!$A$59:$D$73,3,FALSE)</f>
        <v>Ежемесячно</v>
      </c>
      <c r="I28" s="206">
        <f>VLOOKUP(A28,ПТО!$A$59:$D$73,4,FALSE)</f>
        <v>12</v>
      </c>
      <c r="J28" s="206"/>
      <c r="K28" s="106"/>
      <c r="L28" s="228"/>
      <c r="M28" s="106"/>
      <c r="N28" s="106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204" t="str">
        <f>ПТО!A60</f>
        <v>Работы по содержанию лифта (лифтов)</v>
      </c>
      <c r="B29" s="204"/>
      <c r="C29" s="204"/>
      <c r="D29" s="204"/>
      <c r="E29" s="204"/>
      <c r="F29" s="205">
        <f>VLOOKUP(A29,ПТО!$A$59:$D$73,2,FALSE)</f>
        <v>315909</v>
      </c>
      <c r="G29" s="205"/>
      <c r="H29" s="40" t="str">
        <f>VLOOKUP(A29,ПТО!$A$59:$D$73,3,FALSE)</f>
        <v>Ежемесячно</v>
      </c>
      <c r="I29" s="206">
        <f>VLOOKUP(A29,ПТО!$A$59:$D$73,4,FALSE)</f>
        <v>12</v>
      </c>
      <c r="J29" s="206"/>
      <c r="K29" s="106"/>
      <c r="L29" s="228"/>
      <c r="M29" s="106"/>
      <c r="N29" s="106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204" t="str">
        <f>ПТО!A61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204"/>
      <c r="C30" s="204"/>
      <c r="D30" s="204"/>
      <c r="E30" s="204"/>
      <c r="F30" s="205">
        <f>VLOOKUP(A30,ПТО!$A$59:$D$73,2,FALSE)</f>
        <v>132891.59999999998</v>
      </c>
      <c r="G30" s="205"/>
      <c r="H30" s="40" t="str">
        <f>VLOOKUP(A30,ПТО!$A$59:$D$73,3,FALSE)</f>
        <v>В соответствии с графиком</v>
      </c>
      <c r="I30" s="206">
        <f>VLOOKUP(A30,ПТО!$A$59:$D$73,4,FALSE)</f>
        <v>12</v>
      </c>
      <c r="J30" s="206"/>
      <c r="K30" s="106"/>
      <c r="L30" s="228"/>
      <c r="M30" s="106"/>
      <c r="N30" s="106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204" t="str">
        <f>ПТО!A62</f>
        <v>Работы, выполняемые для надлежащего содержания электрооборудования дома</v>
      </c>
      <c r="B31" s="204"/>
      <c r="C31" s="204"/>
      <c r="D31" s="204"/>
      <c r="E31" s="204"/>
      <c r="F31" s="205">
        <f>VLOOKUP(A31,ПТО!$A$59:$D$73,2,FALSE)</f>
        <v>137554.44</v>
      </c>
      <c r="G31" s="205"/>
      <c r="H31" s="40" t="str">
        <f>VLOOKUP(A31,ПТО!$A$59:$D$73,3,FALSE)</f>
        <v>Ежемесячно</v>
      </c>
      <c r="I31" s="206">
        <f>VLOOKUP(A31,ПТО!$A$59:$D$73,4,FALSE)</f>
        <v>12</v>
      </c>
      <c r="J31" s="206"/>
      <c r="K31" s="106"/>
      <c r="L31" s="228"/>
      <c r="M31" s="106"/>
      <c r="N31" s="106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204">
        <f>ПТО!A63</f>
        <v>0</v>
      </c>
      <c r="B32" s="204"/>
      <c r="C32" s="204"/>
      <c r="D32" s="204"/>
      <c r="E32" s="204"/>
      <c r="F32" s="205" t="e">
        <f>VLOOKUP(A32,ПТО!$A$59:$D$73,2,FALSE)</f>
        <v>#N/A</v>
      </c>
      <c r="G32" s="205"/>
      <c r="H32" s="40" t="e">
        <f>VLOOKUP(A32,ПТО!$A$59:$D$73,3,FALSE)</f>
        <v>#N/A</v>
      </c>
      <c r="I32" s="206" t="e">
        <f>VLOOKUP(A32,ПТО!$A$59:$D$73,4,FALSE)</f>
        <v>#N/A</v>
      </c>
      <c r="J32" s="206"/>
      <c r="K32" s="106"/>
      <c r="L32" s="228"/>
      <c r="M32" s="106"/>
      <c r="N32" s="106"/>
      <c r="O32" s="23">
        <f t="shared" si="1"/>
        <v>0</v>
      </c>
      <c r="R32" s="1" t="s">
        <v>71</v>
      </c>
    </row>
    <row r="33" spans="1:18" ht="42" customHeight="1" outlineLevel="1">
      <c r="A33" s="204" t="str">
        <f>ПТО!A64</f>
        <v>Обеспечение устранения аварий на внутридомовых инженерных системах в многоквартирном доме</v>
      </c>
      <c r="B33" s="204"/>
      <c r="C33" s="204"/>
      <c r="D33" s="204"/>
      <c r="E33" s="204"/>
      <c r="F33" s="205">
        <f>VLOOKUP(A33,ПТО!$A$59:$D$73,2,FALSE)</f>
        <v>36137.159999999996</v>
      </c>
      <c r="G33" s="205"/>
      <c r="H33" s="40" t="str">
        <f>VLOOKUP(A33,ПТО!$A$59:$D$73,3,FALSE)</f>
        <v>Круглосуточно</v>
      </c>
      <c r="I33" s="206">
        <f>VLOOKUP(A33,ПТО!$A$59:$D$73,4,FALSE)</f>
        <v>12</v>
      </c>
      <c r="J33" s="206"/>
      <c r="K33" s="106"/>
      <c r="L33" s="228"/>
      <c r="M33" s="106"/>
      <c r="N33" s="106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204" t="str">
        <f>ПТО!A65</f>
        <v>Работы по содержанию помещений, входящих в состав общего имущества в многоквартирном доме</v>
      </c>
      <c r="B34" s="204"/>
      <c r="C34" s="204"/>
      <c r="D34" s="204"/>
      <c r="E34" s="204"/>
      <c r="F34" s="205">
        <f>VLOOKUP(A34,ПТО!$A$59:$D$73,2,FALSE)</f>
        <v>156205.91999999998</v>
      </c>
      <c r="G34" s="205"/>
      <c r="H34" s="40" t="str">
        <f>VLOOKUP(A34,ПТО!$A$59:$D$73,3,FALSE)</f>
        <v>В соответствии с графиком</v>
      </c>
      <c r="I34" s="206">
        <f>VLOOKUP(A34,ПТО!$A$59:$D$73,4,FALSE)</f>
        <v>12</v>
      </c>
      <c r="J34" s="206"/>
      <c r="K34" s="106"/>
      <c r="L34" s="228"/>
      <c r="M34" s="106"/>
      <c r="N34" s="106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hidden="1" customHeight="1" outlineLevel="1">
      <c r="A35" s="204">
        <f>ПТО!A66</f>
        <v>0</v>
      </c>
      <c r="B35" s="204"/>
      <c r="C35" s="204"/>
      <c r="D35" s="204"/>
      <c r="E35" s="204"/>
      <c r="F35" s="205" t="e">
        <f>VLOOKUP(A35,ПТО!$A$59:$D$73,2,FALSE)</f>
        <v>#N/A</v>
      </c>
      <c r="G35" s="205"/>
      <c r="H35" s="40" t="e">
        <f>VLOOKUP(A35,ПТО!$A$59:$D$73,3,FALSE)</f>
        <v>#N/A</v>
      </c>
      <c r="I35" s="206" t="e">
        <f>VLOOKUP(A35,ПТО!$A$59:$D$73,4,FALSE)</f>
        <v>#N/A</v>
      </c>
      <c r="J35" s="206"/>
      <c r="K35" s="106"/>
      <c r="L35" s="228"/>
      <c r="M35" s="113"/>
      <c r="N35" s="106"/>
      <c r="O35" s="23">
        <f t="shared" si="1"/>
        <v>0</v>
      </c>
      <c r="R35" s="1" t="s">
        <v>71</v>
      </c>
    </row>
    <row r="36" spans="1:18" ht="51" hidden="1" customHeight="1" outlineLevel="1">
      <c r="A36" s="204">
        <f>ПТО!A67</f>
        <v>0</v>
      </c>
      <c r="B36" s="204"/>
      <c r="C36" s="204"/>
      <c r="D36" s="204"/>
      <c r="E36" s="204"/>
      <c r="F36" s="205" t="e">
        <f>VLOOKUP(A36,ПТО!$A$59:$D$73,2,FALSE)</f>
        <v>#N/A</v>
      </c>
      <c r="G36" s="205"/>
      <c r="H36" s="40" t="e">
        <f>VLOOKUP(A36,ПТО!$A$59:$D$73,3,FALSE)</f>
        <v>#N/A</v>
      </c>
      <c r="I36" s="206" t="e">
        <f>VLOOKUP(A36,ПТО!$A$59:$D$73,4,FALSE)</f>
        <v>#N/A</v>
      </c>
      <c r="J36" s="206"/>
      <c r="K36" s="106"/>
      <c r="L36" s="228"/>
      <c r="M36" s="113"/>
      <c r="N36" s="106"/>
      <c r="O36" s="23">
        <f t="shared" si="1"/>
        <v>0</v>
      </c>
      <c r="R36" s="1" t="s">
        <v>71</v>
      </c>
    </row>
    <row r="37" spans="1:18" ht="51" hidden="1" customHeight="1" outlineLevel="1">
      <c r="A37" s="204">
        <f>ПТО!A68</f>
        <v>0</v>
      </c>
      <c r="B37" s="204"/>
      <c r="C37" s="204"/>
      <c r="D37" s="204"/>
      <c r="E37" s="204"/>
      <c r="F37" s="205" t="e">
        <f>VLOOKUP(A37,ПТО!$A$59:$D$73,2,FALSE)</f>
        <v>#N/A</v>
      </c>
      <c r="G37" s="205"/>
      <c r="H37" s="40" t="e">
        <f>VLOOKUP(A37,ПТО!$A$59:$D$73,3,FALSE)</f>
        <v>#N/A</v>
      </c>
      <c r="I37" s="206" t="e">
        <f>VLOOKUP(A37,ПТО!$A$59:$D$73,4,FALSE)</f>
        <v>#N/A</v>
      </c>
      <c r="J37" s="206"/>
      <c r="K37" s="106"/>
      <c r="L37" s="228"/>
      <c r="M37" s="113"/>
      <c r="N37" s="106"/>
      <c r="O37" s="23">
        <f t="shared" si="1"/>
        <v>0</v>
      </c>
      <c r="R37" s="1" t="s">
        <v>71</v>
      </c>
    </row>
    <row r="38" spans="1:18" ht="51" hidden="1" customHeight="1" outlineLevel="1">
      <c r="A38" s="204">
        <f>ПТО!A69</f>
        <v>0</v>
      </c>
      <c r="B38" s="204"/>
      <c r="C38" s="204"/>
      <c r="D38" s="204"/>
      <c r="E38" s="204"/>
      <c r="F38" s="205" t="e">
        <f>VLOOKUP(A38,ПТО!$A$59:$D$73,2,FALSE)</f>
        <v>#N/A</v>
      </c>
      <c r="G38" s="205"/>
      <c r="H38" s="40" t="e">
        <f>VLOOKUP(A38,ПТО!$A$59:$D$73,3,FALSE)</f>
        <v>#N/A</v>
      </c>
      <c r="I38" s="206" t="e">
        <f>VLOOKUP(A38,ПТО!$A$59:$D$73,4,FALSE)</f>
        <v>#N/A</v>
      </c>
      <c r="J38" s="206"/>
      <c r="K38" s="106"/>
      <c r="L38" s="228"/>
      <c r="M38" s="113"/>
      <c r="N38" s="106"/>
      <c r="O38" s="23">
        <f t="shared" si="1"/>
        <v>0</v>
      </c>
      <c r="R38" s="1" t="s">
        <v>71</v>
      </c>
    </row>
    <row r="39" spans="1:18" ht="51" hidden="1" customHeight="1" outlineLevel="1">
      <c r="A39" s="204">
        <f>ПТО!A70</f>
        <v>0</v>
      </c>
      <c r="B39" s="204"/>
      <c r="C39" s="204"/>
      <c r="D39" s="204"/>
      <c r="E39" s="204"/>
      <c r="F39" s="205" t="e">
        <f>VLOOKUP(A39,ПТО!$A$59:$D$73,2,FALSE)</f>
        <v>#N/A</v>
      </c>
      <c r="G39" s="205"/>
      <c r="H39" s="40" t="e">
        <f>VLOOKUP(A39,ПТО!$A$59:$D$73,3,FALSE)</f>
        <v>#N/A</v>
      </c>
      <c r="I39" s="206" t="e">
        <f>VLOOKUP(A39,ПТО!$A$59:$D$73,4,FALSE)</f>
        <v>#N/A</v>
      </c>
      <c r="J39" s="206"/>
      <c r="K39" s="106"/>
      <c r="L39" s="228"/>
      <c r="M39" s="113"/>
      <c r="N39" s="106"/>
      <c r="O39" s="23">
        <f t="shared" si="1"/>
        <v>0</v>
      </c>
      <c r="R39" s="1" t="s">
        <v>71</v>
      </c>
    </row>
    <row r="40" spans="1:18" ht="51" hidden="1" customHeight="1" outlineLevel="1">
      <c r="A40" s="204">
        <f>ПТО!A71</f>
        <v>0</v>
      </c>
      <c r="B40" s="204"/>
      <c r="C40" s="204"/>
      <c r="D40" s="204"/>
      <c r="E40" s="204"/>
      <c r="F40" s="205" t="e">
        <f>VLOOKUP(A40,ПТО!$A$59:$D$73,2,FALSE)</f>
        <v>#N/A</v>
      </c>
      <c r="G40" s="205"/>
      <c r="H40" s="40" t="e">
        <f>VLOOKUP(A40,ПТО!$A$59:$D$73,3,FALSE)</f>
        <v>#N/A</v>
      </c>
      <c r="I40" s="206" t="e">
        <f>VLOOKUP(A40,ПТО!$A$59:$D$73,4,FALSE)</f>
        <v>#N/A</v>
      </c>
      <c r="J40" s="206"/>
      <c r="K40" s="106"/>
      <c r="L40" s="228"/>
      <c r="M40" s="113"/>
      <c r="N40" s="106"/>
      <c r="O40" s="23">
        <f t="shared" si="1"/>
        <v>0</v>
      </c>
      <c r="R40" s="1" t="s">
        <v>71</v>
      </c>
    </row>
    <row r="41" spans="1:18" ht="51" hidden="1" customHeight="1" outlineLevel="1">
      <c r="A41" s="204">
        <f>ПТО!A72</f>
        <v>0</v>
      </c>
      <c r="B41" s="204"/>
      <c r="C41" s="204"/>
      <c r="D41" s="204"/>
      <c r="E41" s="204"/>
      <c r="F41" s="205" t="e">
        <f>VLOOKUP(A41,ПТО!$A$59:$D$73,2,FALSE)</f>
        <v>#N/A</v>
      </c>
      <c r="G41" s="205"/>
      <c r="H41" s="40" t="e">
        <f>VLOOKUP(A41,ПТО!$A$59:$D$73,3,FALSE)</f>
        <v>#N/A</v>
      </c>
      <c r="I41" s="206" t="e">
        <f>VLOOKUP(A41,ПТО!$A$59:$D$73,4,FALSE)</f>
        <v>#N/A</v>
      </c>
      <c r="J41" s="206"/>
      <c r="K41" s="106"/>
      <c r="L41" s="228"/>
      <c r="M41" s="113"/>
      <c r="N41" s="106"/>
      <c r="O41" s="23">
        <f t="shared" si="1"/>
        <v>0</v>
      </c>
      <c r="R41" s="1" t="s">
        <v>71</v>
      </c>
    </row>
    <row r="42" spans="1:18" ht="51" hidden="1" customHeight="1" outlineLevel="1">
      <c r="A42" s="204">
        <f>ПТО!A73</f>
        <v>0</v>
      </c>
      <c r="B42" s="204"/>
      <c r="C42" s="204"/>
      <c r="D42" s="204"/>
      <c r="E42" s="204"/>
      <c r="F42" s="205" t="e">
        <f>VLOOKUP(A42,ПТО!$A$59:$D$73,2,FALSE)</f>
        <v>#N/A</v>
      </c>
      <c r="G42" s="205"/>
      <c r="H42" s="40" t="e">
        <f>VLOOKUP(A42,ПТО!$A$59:$D$73,3,FALSE)</f>
        <v>#N/A</v>
      </c>
      <c r="I42" s="206" t="e">
        <f>VLOOKUP(A42,ПТО!$A$59:$D$73,4,FALSE)</f>
        <v>#N/A</v>
      </c>
      <c r="J42" s="206"/>
      <c r="K42" s="106"/>
      <c r="L42" s="228"/>
      <c r="M42" s="113"/>
      <c r="N42" s="106"/>
      <c r="O42" s="23">
        <f t="shared" si="1"/>
        <v>0</v>
      </c>
      <c r="R42" s="1" t="s">
        <v>71</v>
      </c>
    </row>
    <row r="43" spans="1:18" ht="51" customHeight="1" outlineLevel="1">
      <c r="A43" s="204" t="str">
        <f>ПТО!A2</f>
        <v xml:space="preserve">Техническое освидетельствование лифтов. </v>
      </c>
      <c r="B43" s="204"/>
      <c r="C43" s="204"/>
      <c r="D43" s="204"/>
      <c r="E43" s="204"/>
      <c r="F43" s="205">
        <f>VLOOKUP(A43,ПТО!$A$2:$D$51,4,FALSE)</f>
        <v>30000</v>
      </c>
      <c r="G43" s="205"/>
      <c r="H43" s="19" t="str">
        <f>VLOOKUP(A43,ПТО!$A$2:$D$51,2,FALSE)</f>
        <v>ежегодно</v>
      </c>
      <c r="I43" s="206">
        <f>VLOOKUP(A43,ПТО!$A$2:$D$51,3,FALSE)</f>
        <v>4</v>
      </c>
      <c r="J43" s="206"/>
      <c r="K43" s="106"/>
      <c r="L43" s="228"/>
      <c r="M43" s="113"/>
      <c r="N43" s="106"/>
      <c r="O43" s="23" t="str">
        <f t="shared" si="1"/>
        <v xml:space="preserve">Техническое освидетельствование лифтов. </v>
      </c>
      <c r="R43" s="22" t="s">
        <v>72</v>
      </c>
    </row>
    <row r="44" spans="1:18" ht="51" customHeight="1" outlineLevel="1">
      <c r="A44" s="204" t="str">
        <f>ПТО!A3</f>
        <v>Техническое обслуживание системы видеонаблюдения.</v>
      </c>
      <c r="B44" s="204"/>
      <c r="C44" s="204"/>
      <c r="D44" s="204"/>
      <c r="E44" s="204"/>
      <c r="F44" s="205">
        <f>VLOOKUP(A44,ПТО!$A$2:$D$51,4,FALSE)</f>
        <v>33600</v>
      </c>
      <c r="G44" s="205"/>
      <c r="H44" s="127" t="str">
        <f>VLOOKUP(A44,ПТО!$A$2:$D$51,2,FALSE)</f>
        <v>ежемесячно</v>
      </c>
      <c r="I44" s="206">
        <f>VLOOKUP(A44,ПТО!$A$2:$D$51,3,FALSE)</f>
        <v>12</v>
      </c>
      <c r="J44" s="206"/>
      <c r="K44" s="106"/>
      <c r="L44" s="228"/>
      <c r="M44" s="113"/>
      <c r="N44" s="106"/>
      <c r="O44" s="23" t="str">
        <f t="shared" si="1"/>
        <v>Техническое обслуживание системы видеонаблюдения.</v>
      </c>
      <c r="R44" s="22" t="s">
        <v>72</v>
      </c>
    </row>
    <row r="45" spans="1:18" ht="51" customHeight="1" outlineLevel="1">
      <c r="A45" s="204" t="str">
        <f>ПТО!A4</f>
        <v>Замена блока питания регистратора системы видеонаблюдения.</v>
      </c>
      <c r="B45" s="204"/>
      <c r="C45" s="204"/>
      <c r="D45" s="204"/>
      <c r="E45" s="204"/>
      <c r="F45" s="205">
        <f>VLOOKUP(A45,ПТО!$A$2:$D$51,4,FALSE)</f>
        <v>785</v>
      </c>
      <c r="G45" s="205"/>
      <c r="H45" s="127" t="str">
        <f>VLOOKUP(A45,ПТО!$A$2:$D$51,2,FALSE)</f>
        <v>разово</v>
      </c>
      <c r="I45" s="206">
        <f>VLOOKUP(A45,ПТО!$A$2:$D$51,3,FALSE)</f>
        <v>1</v>
      </c>
      <c r="J45" s="206"/>
      <c r="K45" s="106"/>
      <c r="L45" s="228"/>
      <c r="M45" s="113"/>
      <c r="N45" s="106"/>
      <c r="O45" s="23" t="str">
        <f t="shared" si="1"/>
        <v>Замена блока питания регистратора системы видеонаблюдения.</v>
      </c>
      <c r="R45" s="22" t="s">
        <v>72</v>
      </c>
    </row>
    <row r="46" spans="1:18" ht="51" customHeight="1" outlineLevel="1">
      <c r="A46" s="204" t="str">
        <f>ПТО!A5</f>
        <v>Устранение засора канализационной сети.</v>
      </c>
      <c r="B46" s="204"/>
      <c r="C46" s="204"/>
      <c r="D46" s="204"/>
      <c r="E46" s="204"/>
      <c r="F46" s="205">
        <f>VLOOKUP(A46,ПТО!$A$2:$D$51,4,FALSE)</f>
        <v>9000</v>
      </c>
      <c r="G46" s="205"/>
      <c r="H46" s="127" t="str">
        <f>VLOOKUP(A46,ПТО!$A$2:$D$51,2,FALSE)</f>
        <v>разово</v>
      </c>
      <c r="I46" s="206">
        <f>VLOOKUP(A46,ПТО!$A$2:$D$51,3,FALSE)</f>
        <v>1</v>
      </c>
      <c r="J46" s="206"/>
      <c r="K46" s="106"/>
      <c r="L46" s="228"/>
      <c r="M46" s="113"/>
      <c r="N46" s="106"/>
      <c r="O46" s="23" t="str">
        <f t="shared" si="1"/>
        <v>Устранение засора канализационной сети.</v>
      </c>
      <c r="R46" s="22" t="s">
        <v>72</v>
      </c>
    </row>
    <row r="47" spans="1:18" ht="51" customHeight="1" outlineLevel="1">
      <c r="A47" s="204" t="str">
        <f>ПТО!A6</f>
        <v>Замена блока питания и контроллера системы домофон (13 этаж).</v>
      </c>
      <c r="B47" s="204"/>
      <c r="C47" s="204"/>
      <c r="D47" s="204"/>
      <c r="E47" s="204"/>
      <c r="F47" s="205">
        <f>VLOOKUP(A47,ПТО!$A$2:$D$51,4,FALSE)</f>
        <v>3600</v>
      </c>
      <c r="G47" s="205"/>
      <c r="H47" s="127" t="str">
        <f>VLOOKUP(A47,ПТО!$A$2:$D$51,2,FALSE)</f>
        <v>разово</v>
      </c>
      <c r="I47" s="206">
        <f>VLOOKUP(A47,ПТО!$A$2:$D$51,3,FALSE)</f>
        <v>1</v>
      </c>
      <c r="J47" s="206"/>
      <c r="K47" s="106"/>
      <c r="L47" s="228"/>
      <c r="M47" s="113"/>
      <c r="N47" s="106"/>
      <c r="O47" s="23" t="str">
        <f t="shared" si="1"/>
        <v>Замена блока питания и контроллера системы домофон (13 этаж).</v>
      </c>
      <c r="R47" s="22" t="s">
        <v>72</v>
      </c>
    </row>
    <row r="48" spans="1:18" ht="51" customHeight="1" outlineLevel="1">
      <c r="A48" s="204" t="str">
        <f>ПТО!A7</f>
        <v>Замена каната ограничения скорости кабины лифта (1 подъезд).</v>
      </c>
      <c r="B48" s="204"/>
      <c r="C48" s="204"/>
      <c r="D48" s="204"/>
      <c r="E48" s="204"/>
      <c r="F48" s="205">
        <f>VLOOKUP(A48,ПТО!$A$2:$D$51,4,FALSE)</f>
        <v>15089</v>
      </c>
      <c r="G48" s="205"/>
      <c r="H48" s="127" t="str">
        <f>VLOOKUP(A48,ПТО!$A$2:$D$51,2,FALSE)</f>
        <v>разово</v>
      </c>
      <c r="I48" s="206">
        <f>VLOOKUP(A48,ПТО!$A$2:$D$51,3,FALSE)</f>
        <v>1</v>
      </c>
      <c r="J48" s="206"/>
      <c r="K48" s="106"/>
      <c r="L48" s="228"/>
      <c r="M48" s="113"/>
      <c r="N48" s="106"/>
      <c r="O48" s="23" t="str">
        <f t="shared" si="1"/>
        <v>Замена каната ограничения скорости кабины лифта (1 подъезд).</v>
      </c>
      <c r="R48" s="22" t="s">
        <v>72</v>
      </c>
    </row>
    <row r="49" spans="1:18" ht="51" customHeight="1" outlineLevel="1">
      <c r="A49" s="204" t="str">
        <f>ПТО!A8</f>
        <v>Замена блока питания системы домофон (2 подъезд, 14 этаж).</v>
      </c>
      <c r="B49" s="204"/>
      <c r="C49" s="204"/>
      <c r="D49" s="204"/>
      <c r="E49" s="204"/>
      <c r="F49" s="205">
        <f>VLOOKUP(A49,ПТО!$A$2:$D$51,4,FALSE)</f>
        <v>2000</v>
      </c>
      <c r="G49" s="205"/>
      <c r="H49" s="127" t="str">
        <f>VLOOKUP(A49,ПТО!$A$2:$D$51,2,FALSE)</f>
        <v>разово</v>
      </c>
      <c r="I49" s="206">
        <f>VLOOKUP(A49,ПТО!$A$2:$D$51,3,FALSE)</f>
        <v>1</v>
      </c>
      <c r="J49" s="206"/>
      <c r="K49" s="106"/>
      <c r="L49" s="228"/>
      <c r="M49" s="113"/>
      <c r="N49" s="106"/>
      <c r="O49" s="23" t="str">
        <f t="shared" si="1"/>
        <v>Замена блока питания системы домофон (2 подъезд, 14 этаж).</v>
      </c>
      <c r="R49" s="22" t="s">
        <v>72</v>
      </c>
    </row>
    <row r="50" spans="1:18" ht="51" customHeight="1" outlineLevel="1">
      <c r="A50" s="204" t="str">
        <f>ПТО!A9</f>
        <v>Перекатка пожарных рукавов на новую скатку (28 шт.).</v>
      </c>
      <c r="B50" s="204"/>
      <c r="C50" s="204"/>
      <c r="D50" s="204"/>
      <c r="E50" s="204"/>
      <c r="F50" s="205">
        <f>VLOOKUP(A50,ПТО!$A$2:$D$51,4,FALSE)</f>
        <v>7000</v>
      </c>
      <c r="G50" s="205"/>
      <c r="H50" s="127" t="str">
        <f>VLOOKUP(A50,ПТО!$A$2:$D$51,2,FALSE)</f>
        <v>разово</v>
      </c>
      <c r="I50" s="206">
        <f>VLOOKUP(A50,ПТО!$A$2:$D$51,3,FALSE)</f>
        <v>1</v>
      </c>
      <c r="J50" s="206"/>
      <c r="K50" s="106"/>
      <c r="L50" s="228"/>
      <c r="M50" s="113"/>
      <c r="N50" s="106"/>
      <c r="O50" s="23" t="str">
        <f t="shared" si="1"/>
        <v>Перекатка пожарных рукавов на новую скатку (28 шт.).</v>
      </c>
      <c r="R50" s="22" t="s">
        <v>72</v>
      </c>
    </row>
    <row r="51" spans="1:18" ht="51" customHeight="1" outlineLevel="1">
      <c r="A51" s="204" t="str">
        <f>ПТО!A10</f>
        <v>Замена блока питания системы видеонаблюдения.</v>
      </c>
      <c r="B51" s="204"/>
      <c r="C51" s="204"/>
      <c r="D51" s="204"/>
      <c r="E51" s="204"/>
      <c r="F51" s="205">
        <f>VLOOKUP(A51,ПТО!$A$2:$D$51,4,FALSE)</f>
        <v>843</v>
      </c>
      <c r="G51" s="205"/>
      <c r="H51" s="127" t="str">
        <f>VLOOKUP(A51,ПТО!$A$2:$D$51,2,FALSE)</f>
        <v>разово</v>
      </c>
      <c r="I51" s="206">
        <f>VLOOKUP(A51,ПТО!$A$2:$D$51,3,FALSE)</f>
        <v>1</v>
      </c>
      <c r="J51" s="206"/>
      <c r="K51" s="106"/>
      <c r="L51" s="228"/>
      <c r="M51" s="113"/>
      <c r="N51" s="106"/>
      <c r="O51" s="23" t="str">
        <f t="shared" si="1"/>
        <v>Замена блока питания системы видеонаблюдения.</v>
      </c>
      <c r="R51" s="22" t="s">
        <v>72</v>
      </c>
    </row>
    <row r="52" spans="1:18" ht="51" customHeight="1" outlineLevel="1">
      <c r="A52" s="204" t="str">
        <f>ПТО!A11</f>
        <v>Организация и проведение праздника "1 Сентября".</v>
      </c>
      <c r="B52" s="204"/>
      <c r="C52" s="204"/>
      <c r="D52" s="204"/>
      <c r="E52" s="204"/>
      <c r="F52" s="205">
        <f>VLOOKUP(A52,ПТО!$A$2:$D$51,4,FALSE)</f>
        <v>3600</v>
      </c>
      <c r="G52" s="205"/>
      <c r="H52" s="127" t="str">
        <f>VLOOKUP(A52,ПТО!$A$2:$D$51,2,FALSE)</f>
        <v>разово</v>
      </c>
      <c r="I52" s="206">
        <f>VLOOKUP(A52,ПТО!$A$2:$D$51,3,FALSE)</f>
        <v>1</v>
      </c>
      <c r="J52" s="206"/>
      <c r="K52" s="106"/>
      <c r="L52" s="228"/>
      <c r="M52" s="113"/>
      <c r="N52" s="106"/>
      <c r="O52" s="23" t="str">
        <f t="shared" si="1"/>
        <v>Организация и проведение праздника "1 Сентября".</v>
      </c>
      <c r="R52" s="22" t="s">
        <v>72</v>
      </c>
    </row>
    <row r="53" spans="1:18" ht="51" customHeight="1" outlineLevel="1">
      <c r="A53" s="204" t="str">
        <f>ПТО!A12</f>
        <v>Проверка и диагностика пожарных выходов.</v>
      </c>
      <c r="B53" s="204"/>
      <c r="C53" s="204"/>
      <c r="D53" s="204"/>
      <c r="E53" s="204"/>
      <c r="F53" s="205">
        <f>VLOOKUP(A53,ПТО!$A$2:$D$51,4,FALSE)</f>
        <v>1000</v>
      </c>
      <c r="G53" s="205"/>
      <c r="H53" s="127" t="str">
        <f>VLOOKUP(A53,ПТО!$A$2:$D$51,2,FALSE)</f>
        <v>разово</v>
      </c>
      <c r="I53" s="206">
        <f>VLOOKUP(A53,ПТО!$A$2:$D$51,3,FALSE)</f>
        <v>1</v>
      </c>
      <c r="J53" s="206"/>
      <c r="K53" s="106"/>
      <c r="L53" s="228"/>
      <c r="M53" s="113"/>
      <c r="N53" s="106"/>
      <c r="O53" s="23" t="str">
        <f t="shared" si="1"/>
        <v>Проверка и диагностика пожарных выходов.</v>
      </c>
      <c r="R53" s="22" t="s">
        <v>72</v>
      </c>
    </row>
    <row r="54" spans="1:18" ht="51" customHeight="1" outlineLevel="1">
      <c r="A54" s="204" t="str">
        <f>ПТО!A13</f>
        <v>Приобретение и замена фасадной плитки.</v>
      </c>
      <c r="B54" s="204"/>
      <c r="C54" s="204"/>
      <c r="D54" s="204"/>
      <c r="E54" s="204"/>
      <c r="F54" s="205">
        <f>VLOOKUP(A54,ПТО!$A$2:$D$51,4,FALSE)</f>
        <v>14831.6</v>
      </c>
      <c r="G54" s="205"/>
      <c r="H54" s="127" t="str">
        <f>VLOOKUP(A54,ПТО!$A$2:$D$51,2,FALSE)</f>
        <v>разово</v>
      </c>
      <c r="I54" s="206">
        <f>VLOOKUP(A54,ПТО!$A$2:$D$51,3,FALSE)</f>
        <v>1</v>
      </c>
      <c r="J54" s="206"/>
      <c r="K54" s="106"/>
      <c r="L54" s="228"/>
      <c r="M54" s="113"/>
      <c r="N54" s="106"/>
      <c r="O54" s="23" t="str">
        <f t="shared" si="1"/>
        <v>Приобретение и замена фасадной плитки.</v>
      </c>
      <c r="R54" s="22" t="s">
        <v>72</v>
      </c>
    </row>
    <row r="55" spans="1:18" ht="51" customHeight="1" outlineLevel="1">
      <c r="A55" s="204" t="str">
        <f>ПТО!A14</f>
        <v>Замена и восстановление светодиодных светильников (1, 2 подъезды, 25 шт.).</v>
      </c>
      <c r="B55" s="204"/>
      <c r="C55" s="204"/>
      <c r="D55" s="204"/>
      <c r="E55" s="204"/>
      <c r="F55" s="205">
        <f>VLOOKUP(A55,ПТО!$A$2:$D$51,4,FALSE)</f>
        <v>37500</v>
      </c>
      <c r="G55" s="205"/>
      <c r="H55" s="127" t="str">
        <f>VLOOKUP(A55,ПТО!$A$2:$D$51,2,FALSE)</f>
        <v>разово</v>
      </c>
      <c r="I55" s="206">
        <f>VLOOKUP(A55,ПТО!$A$2:$D$51,3,FALSE)</f>
        <v>1</v>
      </c>
      <c r="J55" s="206"/>
      <c r="K55" s="106"/>
      <c r="L55" s="228"/>
      <c r="M55" s="113"/>
      <c r="N55" s="106"/>
      <c r="O55" s="23" t="str">
        <f t="shared" si="1"/>
        <v>Замена и восстановление светодиодных светильников (1, 2 подъезды, 25 шт.).</v>
      </c>
      <c r="R55" s="22" t="s">
        <v>72</v>
      </c>
    </row>
    <row r="56" spans="1:18" ht="51" customHeight="1" outlineLevel="1">
      <c r="A56" s="204" t="str">
        <f>ПТО!A15</f>
        <v>Ремонт прибор охрано-пожарной безопасности для автономной работы.</v>
      </c>
      <c r="B56" s="204"/>
      <c r="C56" s="204"/>
      <c r="D56" s="204"/>
      <c r="E56" s="204"/>
      <c r="F56" s="205">
        <f>VLOOKUP(A56,ПТО!$A$2:$D$51,4,FALSE)</f>
        <v>5000</v>
      </c>
      <c r="G56" s="205"/>
      <c r="H56" s="127" t="str">
        <f>VLOOKUP(A56,ПТО!$A$2:$D$51,2,FALSE)</f>
        <v>разово</v>
      </c>
      <c r="I56" s="206">
        <f>VLOOKUP(A56,ПТО!$A$2:$D$51,3,FALSE)</f>
        <v>1</v>
      </c>
      <c r="J56" s="206"/>
      <c r="K56" s="106"/>
      <c r="L56" s="228"/>
      <c r="M56" s="113"/>
      <c r="N56" s="106"/>
      <c r="O56" s="23" t="str">
        <f t="shared" si="1"/>
        <v>Ремонт прибор охрано-пожарной безопасности для автономной работы.</v>
      </c>
      <c r="R56" s="22" t="s">
        <v>72</v>
      </c>
    </row>
    <row r="57" spans="1:18" ht="51" customHeight="1" outlineLevel="1">
      <c r="A57" s="204" t="str">
        <f>ПТО!A16</f>
        <v>Восстановление питания (14 этаж), замена кнопки выхода, замена контроллера пожарного выхода (13 этаж).</v>
      </c>
      <c r="B57" s="204"/>
      <c r="C57" s="204"/>
      <c r="D57" s="204"/>
      <c r="E57" s="204"/>
      <c r="F57" s="205">
        <f>VLOOKUP(A57,ПТО!$A$2:$D$51,4,FALSE)</f>
        <v>5100</v>
      </c>
      <c r="G57" s="205"/>
      <c r="H57" s="127" t="str">
        <f>VLOOKUP(A57,ПТО!$A$2:$D$51,2,FALSE)</f>
        <v>разово</v>
      </c>
      <c r="I57" s="206">
        <f>VLOOKUP(A57,ПТО!$A$2:$D$51,3,FALSE)</f>
        <v>1</v>
      </c>
      <c r="J57" s="206"/>
      <c r="K57" s="106"/>
      <c r="L57" s="228"/>
      <c r="M57" s="113"/>
      <c r="N57" s="106"/>
      <c r="O57" s="23" t="str">
        <f t="shared" si="1"/>
        <v>Восстановление питания (14 этаж), замена кнопки выхода, замена контроллера пожарного выхода (13 этаж).</v>
      </c>
      <c r="R57" s="22" t="s">
        <v>72</v>
      </c>
    </row>
    <row r="58" spans="1:18" ht="51" customHeight="1" outlineLevel="1">
      <c r="A58" s="204" t="str">
        <f>ПТО!A17</f>
        <v>Проведение Новогоднего праздника (подарки 90 шт.).</v>
      </c>
      <c r="B58" s="204"/>
      <c r="C58" s="204"/>
      <c r="D58" s="204"/>
      <c r="E58" s="204"/>
      <c r="F58" s="205">
        <f>VLOOKUP(A58,ПТО!$A$2:$D$51,4,FALSE)</f>
        <v>20050</v>
      </c>
      <c r="G58" s="205"/>
      <c r="H58" s="127" t="str">
        <f>VLOOKUP(A58,ПТО!$A$2:$D$51,2,FALSE)</f>
        <v>разово</v>
      </c>
      <c r="I58" s="206">
        <f>VLOOKUP(A58,ПТО!$A$2:$D$51,3,FALSE)</f>
        <v>1</v>
      </c>
      <c r="J58" s="206"/>
      <c r="K58" s="106"/>
      <c r="L58" s="228"/>
      <c r="M58" s="113"/>
      <c r="N58" s="106"/>
      <c r="O58" s="23" t="str">
        <f t="shared" si="1"/>
        <v>Проведение Новогоднего праздника (подарки 90 шт.).</v>
      </c>
      <c r="R58" s="22" t="s">
        <v>72</v>
      </c>
    </row>
    <row r="59" spans="1:18" ht="51" customHeight="1" outlineLevel="1">
      <c r="A59" s="204" t="str">
        <f>ПТО!A18</f>
        <v>Определение границ земельного участка.</v>
      </c>
      <c r="B59" s="204"/>
      <c r="C59" s="204"/>
      <c r="D59" s="204"/>
      <c r="E59" s="204"/>
      <c r="F59" s="205">
        <f>VLOOKUP(A59,ПТО!$A$2:$D$51,4,FALSE)</f>
        <v>4652</v>
      </c>
      <c r="G59" s="205"/>
      <c r="H59" s="127" t="str">
        <f>VLOOKUP(A59,ПТО!$A$2:$D$51,2,FALSE)</f>
        <v>разово</v>
      </c>
      <c r="I59" s="206">
        <f>VLOOKUP(A59,ПТО!$A$2:$D$51,3,FALSE)</f>
        <v>1</v>
      </c>
      <c r="J59" s="206"/>
      <c r="K59" s="106"/>
      <c r="L59" s="228"/>
      <c r="M59" s="113"/>
      <c r="N59" s="106"/>
      <c r="O59" s="23" t="str">
        <f t="shared" si="1"/>
        <v>Определение границ земельного участка.</v>
      </c>
      <c r="R59" s="22" t="s">
        <v>72</v>
      </c>
    </row>
    <row r="60" spans="1:18" ht="51" hidden="1" customHeight="1" outlineLevel="1">
      <c r="A60" s="204">
        <f>ПТО!A19</f>
        <v>0</v>
      </c>
      <c r="B60" s="204"/>
      <c r="C60" s="204"/>
      <c r="D60" s="204"/>
      <c r="E60" s="204"/>
      <c r="F60" s="205" t="e">
        <f>VLOOKUP(A60,ПТО!$A$2:$D$51,4,FALSE)</f>
        <v>#N/A</v>
      </c>
      <c r="G60" s="205"/>
      <c r="H60" s="127" t="e">
        <f>VLOOKUP(A60,ПТО!$A$2:$D$51,2,FALSE)</f>
        <v>#N/A</v>
      </c>
      <c r="I60" s="206" t="e">
        <f>VLOOKUP(A60,ПТО!$A$2:$D$51,3,FALSE)</f>
        <v>#N/A</v>
      </c>
      <c r="J60" s="206"/>
      <c r="K60" s="106"/>
      <c r="L60" s="228"/>
      <c r="M60" s="113"/>
      <c r="N60" s="106"/>
      <c r="O60" s="23">
        <f t="shared" si="1"/>
        <v>0</v>
      </c>
      <c r="R60" s="22" t="s">
        <v>72</v>
      </c>
    </row>
    <row r="61" spans="1:18" ht="51" hidden="1" customHeight="1" outlineLevel="1">
      <c r="A61" s="204">
        <f>ПТО!A20</f>
        <v>0</v>
      </c>
      <c r="B61" s="204"/>
      <c r="C61" s="204"/>
      <c r="D61" s="204"/>
      <c r="E61" s="204"/>
      <c r="F61" s="205" t="e">
        <f>VLOOKUP(A61,ПТО!$A$2:$D$51,4,FALSE)</f>
        <v>#N/A</v>
      </c>
      <c r="G61" s="205"/>
      <c r="H61" s="127" t="e">
        <f>VLOOKUP(A61,ПТО!$A$2:$D$51,2,FALSE)</f>
        <v>#N/A</v>
      </c>
      <c r="I61" s="206" t="e">
        <f>VLOOKUP(A61,ПТО!$A$2:$D$51,3,FALSE)</f>
        <v>#N/A</v>
      </c>
      <c r="J61" s="206"/>
      <c r="K61" s="106"/>
      <c r="L61" s="228"/>
      <c r="M61" s="113"/>
      <c r="N61" s="106"/>
      <c r="O61" s="23">
        <f t="shared" si="1"/>
        <v>0</v>
      </c>
      <c r="R61" s="22" t="s">
        <v>72</v>
      </c>
    </row>
    <row r="62" spans="1:18" ht="51" hidden="1" customHeight="1" outlineLevel="1">
      <c r="A62" s="204">
        <f>ПТО!A21</f>
        <v>0</v>
      </c>
      <c r="B62" s="204"/>
      <c r="C62" s="204"/>
      <c r="D62" s="204"/>
      <c r="E62" s="204"/>
      <c r="F62" s="205" t="e">
        <f>VLOOKUP(A62,ПТО!$A$2:$D$51,4,FALSE)</f>
        <v>#N/A</v>
      </c>
      <c r="G62" s="205"/>
      <c r="H62" s="127" t="e">
        <f>VLOOKUP(A62,ПТО!$A$2:$D$51,2,FALSE)</f>
        <v>#N/A</v>
      </c>
      <c r="I62" s="206" t="e">
        <f>VLOOKUP(A62,ПТО!$A$2:$D$51,3,FALSE)</f>
        <v>#N/A</v>
      </c>
      <c r="J62" s="206"/>
      <c r="K62" s="106"/>
      <c r="L62" s="228"/>
      <c r="M62" s="113"/>
      <c r="N62" s="106"/>
      <c r="O62" s="23">
        <f t="shared" si="1"/>
        <v>0</v>
      </c>
      <c r="R62" s="22" t="s">
        <v>72</v>
      </c>
    </row>
    <row r="63" spans="1:18" ht="51" hidden="1" customHeight="1" outlineLevel="1">
      <c r="A63" s="204">
        <f>ПТО!A22</f>
        <v>0</v>
      </c>
      <c r="B63" s="204"/>
      <c r="C63" s="204"/>
      <c r="D63" s="204"/>
      <c r="E63" s="204"/>
      <c r="F63" s="205" t="e">
        <f>VLOOKUP(A63,ПТО!$A$2:$D$51,4,FALSE)</f>
        <v>#N/A</v>
      </c>
      <c r="G63" s="205"/>
      <c r="H63" s="127" t="e">
        <f>VLOOKUP(A63,ПТО!$A$2:$D$51,2,FALSE)</f>
        <v>#N/A</v>
      </c>
      <c r="I63" s="206" t="e">
        <f>VLOOKUP(A63,ПТО!$A$2:$D$51,3,FALSE)</f>
        <v>#N/A</v>
      </c>
      <c r="J63" s="206"/>
      <c r="K63" s="106"/>
      <c r="L63" s="228"/>
      <c r="M63" s="113"/>
      <c r="N63" s="106"/>
      <c r="O63" s="23">
        <f t="shared" si="1"/>
        <v>0</v>
      </c>
      <c r="R63" s="22" t="s">
        <v>72</v>
      </c>
    </row>
    <row r="64" spans="1:18" ht="51" hidden="1" customHeight="1" outlineLevel="1">
      <c r="A64" s="204">
        <f>ПТО!A23</f>
        <v>0</v>
      </c>
      <c r="B64" s="204"/>
      <c r="C64" s="204"/>
      <c r="D64" s="204"/>
      <c r="E64" s="204"/>
      <c r="F64" s="205" t="e">
        <f>VLOOKUP(A64,ПТО!$A$2:$D$51,4,FALSE)</f>
        <v>#N/A</v>
      </c>
      <c r="G64" s="205"/>
      <c r="H64" s="127" t="e">
        <f>VLOOKUP(A64,ПТО!$A$2:$D$51,2,FALSE)</f>
        <v>#N/A</v>
      </c>
      <c r="I64" s="206" t="e">
        <f>VLOOKUP(A64,ПТО!$A$2:$D$51,3,FALSE)</f>
        <v>#N/A</v>
      </c>
      <c r="J64" s="206"/>
      <c r="K64" s="106"/>
      <c r="L64" s="228"/>
      <c r="M64" s="113"/>
      <c r="N64" s="106"/>
      <c r="O64" s="23">
        <f t="shared" si="1"/>
        <v>0</v>
      </c>
      <c r="R64" s="22" t="s">
        <v>72</v>
      </c>
    </row>
    <row r="65" spans="1:16384" ht="51" hidden="1" customHeight="1" outlineLevel="1">
      <c r="A65" s="204">
        <f>ПТО!A24</f>
        <v>0</v>
      </c>
      <c r="B65" s="204"/>
      <c r="C65" s="204"/>
      <c r="D65" s="204"/>
      <c r="E65" s="204"/>
      <c r="F65" s="205" t="e">
        <f>VLOOKUP(A65,ПТО!$A$2:$D$51,4,FALSE)</f>
        <v>#N/A</v>
      </c>
      <c r="G65" s="205"/>
      <c r="H65" s="127" t="e">
        <f>VLOOKUP(A65,ПТО!$A$2:$D$51,2,FALSE)</f>
        <v>#N/A</v>
      </c>
      <c r="I65" s="206" t="e">
        <f>VLOOKUP(A65,ПТО!$A$2:$D$51,3,FALSE)</f>
        <v>#N/A</v>
      </c>
      <c r="J65" s="206"/>
      <c r="K65" s="106"/>
      <c r="L65" s="228"/>
      <c r="M65" s="113"/>
      <c r="N65" s="106"/>
      <c r="O65" s="23">
        <f t="shared" si="1"/>
        <v>0</v>
      </c>
      <c r="R65" s="22" t="s">
        <v>72</v>
      </c>
    </row>
    <row r="66" spans="1:16384" ht="51" hidden="1" customHeight="1" outlineLevel="1">
      <c r="A66" s="204">
        <f>ПТО!A25</f>
        <v>0</v>
      </c>
      <c r="B66" s="204"/>
      <c r="C66" s="204"/>
      <c r="D66" s="204"/>
      <c r="E66" s="204"/>
      <c r="F66" s="205" t="e">
        <f>VLOOKUP(A66,ПТО!$A$2:$D$51,4,FALSE)</f>
        <v>#N/A</v>
      </c>
      <c r="G66" s="205"/>
      <c r="H66" s="127" t="e">
        <f>VLOOKUP(A66,ПТО!$A$2:$D$51,2,FALSE)</f>
        <v>#N/A</v>
      </c>
      <c r="I66" s="206" t="e">
        <f>VLOOKUP(A66,ПТО!$A$2:$D$51,3,FALSE)</f>
        <v>#N/A</v>
      </c>
      <c r="J66" s="206"/>
      <c r="K66" s="106"/>
      <c r="L66" s="228"/>
      <c r="M66" s="113"/>
      <c r="N66" s="106"/>
      <c r="O66" s="23">
        <f t="shared" si="1"/>
        <v>0</v>
      </c>
      <c r="R66" s="22" t="s">
        <v>72</v>
      </c>
    </row>
    <row r="67" spans="1:16384" ht="51" hidden="1" customHeight="1" outlineLevel="1">
      <c r="A67" s="204">
        <f>ПТО!A26</f>
        <v>0</v>
      </c>
      <c r="B67" s="204"/>
      <c r="C67" s="204"/>
      <c r="D67" s="204"/>
      <c r="E67" s="204"/>
      <c r="F67" s="205" t="e">
        <f>VLOOKUP(A67,ПТО!$A$2:$D$51,4,FALSE)</f>
        <v>#N/A</v>
      </c>
      <c r="G67" s="205"/>
      <c r="H67" s="127" t="e">
        <f>VLOOKUP(A67,ПТО!$A$2:$D$51,2,FALSE)</f>
        <v>#N/A</v>
      </c>
      <c r="I67" s="206" t="e">
        <f>VLOOKUP(A67,ПТО!$A$2:$D$51,3,FALSE)</f>
        <v>#N/A</v>
      </c>
      <c r="J67" s="206"/>
      <c r="K67" s="106"/>
      <c r="L67" s="228"/>
      <c r="M67" s="113"/>
      <c r="N67" s="106"/>
      <c r="O67" s="23">
        <f t="shared" si="1"/>
        <v>0</v>
      </c>
      <c r="R67" s="22" t="s">
        <v>72</v>
      </c>
    </row>
    <row r="68" spans="1:16384" ht="51" hidden="1" customHeight="1" outlineLevel="1">
      <c r="A68" s="204">
        <f>ПТО!A27</f>
        <v>0</v>
      </c>
      <c r="B68" s="204"/>
      <c r="C68" s="204"/>
      <c r="D68" s="204"/>
      <c r="E68" s="204"/>
      <c r="F68" s="205" t="e">
        <f>VLOOKUP(A68,ПТО!$A$2:$D$51,4,FALSE)</f>
        <v>#N/A</v>
      </c>
      <c r="G68" s="205"/>
      <c r="H68" s="127" t="e">
        <f>VLOOKUP(A68,ПТО!$A$2:$D$51,2,FALSE)</f>
        <v>#N/A</v>
      </c>
      <c r="I68" s="206" t="e">
        <f>VLOOKUP(A68,ПТО!$A$2:$D$51,3,FALSE)</f>
        <v>#N/A</v>
      </c>
      <c r="J68" s="206"/>
      <c r="K68" s="106"/>
      <c r="L68" s="228"/>
      <c r="M68" s="113"/>
      <c r="N68" s="106"/>
      <c r="O68" s="23">
        <f t="shared" si="1"/>
        <v>0</v>
      </c>
      <c r="R68" s="22" t="s">
        <v>72</v>
      </c>
    </row>
    <row r="69" spans="1:16384" ht="51" hidden="1" customHeight="1" outlineLevel="1">
      <c r="A69" s="204">
        <f>ПТО!A28</f>
        <v>0</v>
      </c>
      <c r="B69" s="204"/>
      <c r="C69" s="204"/>
      <c r="D69" s="204"/>
      <c r="E69" s="204"/>
      <c r="F69" s="205" t="e">
        <f>VLOOKUP(A69,ПТО!$A$2:$D$51,4,FALSE)</f>
        <v>#N/A</v>
      </c>
      <c r="G69" s="205"/>
      <c r="H69" s="127" t="e">
        <f>VLOOKUP(A69,ПТО!$A$2:$D$51,2,FALSE)</f>
        <v>#N/A</v>
      </c>
      <c r="I69" s="206" t="e">
        <f>VLOOKUP(A69,ПТО!$A$2:$D$51,3,FALSE)</f>
        <v>#N/A</v>
      </c>
      <c r="J69" s="206"/>
      <c r="K69" s="106"/>
      <c r="L69" s="228"/>
      <c r="M69" s="113"/>
      <c r="N69" s="106"/>
      <c r="O69" s="23">
        <f t="shared" si="1"/>
        <v>0</v>
      </c>
      <c r="R69" s="22" t="s">
        <v>72</v>
      </c>
    </row>
    <row r="70" spans="1:16384" ht="51" hidden="1" customHeight="1" outlineLevel="1">
      <c r="A70" s="204">
        <f>ПТО!A29</f>
        <v>0</v>
      </c>
      <c r="B70" s="204"/>
      <c r="C70" s="204"/>
      <c r="D70" s="204"/>
      <c r="E70" s="204"/>
      <c r="F70" s="205" t="e">
        <f>VLOOKUP(A70,ПТО!$A$2:$D$51,4,FALSE)</f>
        <v>#N/A</v>
      </c>
      <c r="G70" s="205"/>
      <c r="H70" s="127" t="e">
        <f>VLOOKUP(A70,ПТО!$A$2:$D$51,2,FALSE)</f>
        <v>#N/A</v>
      </c>
      <c r="I70" s="206" t="e">
        <f>VLOOKUP(A70,ПТО!$A$2:$D$51,3,FALSE)</f>
        <v>#N/A</v>
      </c>
      <c r="J70" s="206"/>
      <c r="K70" s="106"/>
      <c r="L70" s="228"/>
      <c r="M70" s="113"/>
      <c r="N70" s="106"/>
      <c r="O70" s="23">
        <f t="shared" si="1"/>
        <v>0</v>
      </c>
      <c r="R70" s="22" t="s">
        <v>72</v>
      </c>
    </row>
    <row r="71" spans="1:16384" ht="51" hidden="1" customHeight="1" outlineLevel="1">
      <c r="A71" s="204">
        <f>ПТО!A30</f>
        <v>0</v>
      </c>
      <c r="B71" s="204"/>
      <c r="C71" s="204"/>
      <c r="D71" s="204"/>
      <c r="E71" s="204"/>
      <c r="F71" s="205" t="e">
        <f>VLOOKUP(A71,ПТО!$A$2:$D$51,4,FALSE)</f>
        <v>#N/A</v>
      </c>
      <c r="G71" s="205"/>
      <c r="H71" s="127" t="e">
        <f>VLOOKUP(A71,ПТО!$A$2:$D$51,2,FALSE)</f>
        <v>#N/A</v>
      </c>
      <c r="I71" s="206" t="e">
        <f>VLOOKUP(A71,ПТО!$A$2:$D$51,3,FALSE)</f>
        <v>#N/A</v>
      </c>
      <c r="J71" s="206"/>
      <c r="K71" s="113"/>
      <c r="L71" s="228"/>
      <c r="M71" s="113"/>
      <c r="N71" s="113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204">
        <f>ПТО!A31</f>
        <v>0</v>
      </c>
      <c r="B72" s="204"/>
      <c r="C72" s="204"/>
      <c r="D72" s="204"/>
      <c r="E72" s="204"/>
      <c r="F72" s="205" t="e">
        <f>VLOOKUP(A72,ПТО!$A$2:$D$51,4,FALSE)</f>
        <v>#N/A</v>
      </c>
      <c r="G72" s="205"/>
      <c r="H72" s="127" t="e">
        <f>VLOOKUP(A72,ПТО!$A$2:$D$51,2,FALSE)</f>
        <v>#N/A</v>
      </c>
      <c r="I72" s="206" t="e">
        <f>VLOOKUP(A72,ПТО!$A$2:$D$51,3,FALSE)</f>
        <v>#N/A</v>
      </c>
      <c r="J72" s="206"/>
      <c r="K72" s="106"/>
      <c r="L72" s="228"/>
      <c r="M72" s="113"/>
      <c r="N72" s="106"/>
      <c r="O72" s="23">
        <f t="shared" si="1"/>
        <v>0</v>
      </c>
      <c r="R72" s="22" t="s">
        <v>72</v>
      </c>
    </row>
    <row r="73" spans="1:16384" ht="51" hidden="1" customHeight="1" outlineLevel="1">
      <c r="A73" s="204">
        <f>ПТО!A32</f>
        <v>0</v>
      </c>
      <c r="B73" s="204"/>
      <c r="C73" s="204"/>
      <c r="D73" s="204"/>
      <c r="E73" s="204"/>
      <c r="F73" s="205" t="e">
        <f>VLOOKUP(A73,ПТО!$A$2:$D$51,4,FALSE)</f>
        <v>#N/A</v>
      </c>
      <c r="G73" s="205"/>
      <c r="H73" s="127" t="e">
        <f>VLOOKUP(A73,ПТО!$A$2:$D$51,2,FALSE)</f>
        <v>#N/A</v>
      </c>
      <c r="I73" s="206" t="e">
        <f>VLOOKUP(A73,ПТО!$A$2:$D$51,3,FALSE)</f>
        <v>#N/A</v>
      </c>
      <c r="J73" s="206"/>
      <c r="K73" s="106"/>
      <c r="L73" s="128"/>
      <c r="M73" s="113"/>
      <c r="N73" s="106"/>
      <c r="O73" s="23"/>
      <c r="R73" s="22"/>
    </row>
    <row r="74" spans="1:16384" ht="51" hidden="1" customHeight="1" outlineLevel="1">
      <c r="A74" s="204">
        <f>ПТО!A33</f>
        <v>0</v>
      </c>
      <c r="B74" s="204"/>
      <c r="C74" s="204"/>
      <c r="D74" s="204"/>
      <c r="E74" s="204"/>
      <c r="F74" s="205" t="e">
        <f>VLOOKUP(A74,ПТО!$A$2:$D$51,4,FALSE)</f>
        <v>#N/A</v>
      </c>
      <c r="G74" s="205"/>
      <c r="H74" s="127" t="e">
        <f>VLOOKUP(A74,ПТО!$A$2:$D$51,2,FALSE)</f>
        <v>#N/A</v>
      </c>
      <c r="I74" s="206" t="e">
        <f>VLOOKUP(A74,ПТО!$A$2:$D$51,3,FALSE)</f>
        <v>#N/A</v>
      </c>
      <c r="J74" s="206"/>
      <c r="K74" s="106"/>
      <c r="L74" s="128"/>
      <c r="M74" s="113"/>
      <c r="N74" s="106"/>
      <c r="O74" s="23"/>
      <c r="R74" s="22"/>
    </row>
    <row r="75" spans="1:16384" ht="51" hidden="1" customHeight="1" outlineLevel="1">
      <c r="A75" s="204">
        <f>ПТО!A34</f>
        <v>0</v>
      </c>
      <c r="B75" s="204"/>
      <c r="C75" s="204"/>
      <c r="D75" s="204"/>
      <c r="E75" s="204"/>
      <c r="F75" s="205" t="e">
        <f>VLOOKUP(A75,ПТО!$A$2:$D$51,4,FALSE)</f>
        <v>#N/A</v>
      </c>
      <c r="G75" s="205"/>
      <c r="H75" s="127" t="e">
        <f>VLOOKUP(A75,ПТО!$A$2:$D$51,2,FALSE)</f>
        <v>#N/A</v>
      </c>
      <c r="I75" s="206" t="e">
        <f>VLOOKUP(A75,ПТО!$A$2:$D$51,3,FALSE)</f>
        <v>#N/A</v>
      </c>
      <c r="J75" s="206"/>
      <c r="K75" s="106"/>
      <c r="L75" s="128"/>
      <c r="M75" s="113"/>
      <c r="N75" s="106"/>
      <c r="O75" s="23"/>
      <c r="R75" s="22"/>
    </row>
    <row r="76" spans="1:16384" ht="51" hidden="1" customHeight="1" outlineLevel="1">
      <c r="A76" s="204">
        <f>ПТО!A35</f>
        <v>0</v>
      </c>
      <c r="B76" s="204"/>
      <c r="C76" s="204"/>
      <c r="D76" s="204"/>
      <c r="E76" s="204"/>
      <c r="F76" s="205" t="e">
        <f>VLOOKUP(A76,ПТО!$A$2:$D$51,4,FALSE)</f>
        <v>#N/A</v>
      </c>
      <c r="G76" s="205"/>
      <c r="H76" s="127" t="e">
        <f>VLOOKUP(A76,ПТО!$A$2:$D$51,2,FALSE)</f>
        <v>#N/A</v>
      </c>
      <c r="I76" s="206" t="e">
        <f>VLOOKUP(A76,ПТО!$A$2:$D$51,3,FALSE)</f>
        <v>#N/A</v>
      </c>
      <c r="J76" s="206"/>
      <c r="K76" s="106"/>
      <c r="L76" s="128"/>
      <c r="M76" s="113"/>
      <c r="N76" s="106"/>
      <c r="O76" s="23"/>
      <c r="R76" s="22"/>
    </row>
    <row r="77" spans="1:16384" ht="51" hidden="1" customHeight="1" outlineLevel="1">
      <c r="A77" s="204">
        <f>ПТО!A36</f>
        <v>0</v>
      </c>
      <c r="B77" s="204"/>
      <c r="C77" s="204"/>
      <c r="D77" s="204"/>
      <c r="E77" s="204"/>
      <c r="F77" s="205" t="e">
        <f>VLOOKUP(A77,ПТО!$A$2:$D$51,4,FALSE)</f>
        <v>#N/A</v>
      </c>
      <c r="G77" s="205"/>
      <c r="H77" s="127" t="e">
        <f>VLOOKUP(A77,ПТО!$A$2:$D$51,2,FALSE)</f>
        <v>#N/A</v>
      </c>
      <c r="I77" s="206" t="e">
        <f>VLOOKUP(A77,ПТО!$A$2:$D$51,3,FALSE)</f>
        <v>#N/A</v>
      </c>
      <c r="J77" s="206"/>
      <c r="K77" s="106"/>
      <c r="L77" s="128"/>
      <c r="M77" s="113"/>
      <c r="N77" s="106"/>
      <c r="O77" s="23"/>
      <c r="R77" s="22"/>
    </row>
    <row r="78" spans="1:16384" ht="51" hidden="1" customHeight="1" outlineLevel="1">
      <c r="A78" s="204">
        <f>ПТО!A37</f>
        <v>0</v>
      </c>
      <c r="B78" s="204"/>
      <c r="C78" s="204"/>
      <c r="D78" s="204"/>
      <c r="E78" s="204"/>
      <c r="F78" s="205" t="e">
        <f>VLOOKUP(A78,ПТО!$A$2:$D$51,4,FALSE)</f>
        <v>#N/A</v>
      </c>
      <c r="G78" s="205"/>
      <c r="H78" s="127" t="e">
        <f>VLOOKUP(A78,ПТО!$A$2:$D$51,2,FALSE)</f>
        <v>#N/A</v>
      </c>
      <c r="I78" s="206" t="e">
        <f>VLOOKUP(A78,ПТО!$A$2:$D$51,3,FALSE)</f>
        <v>#N/A</v>
      </c>
      <c r="J78" s="206"/>
      <c r="K78" s="106"/>
      <c r="L78" s="128"/>
      <c r="M78" s="113"/>
      <c r="N78" s="106"/>
      <c r="O78" s="23"/>
      <c r="R78" s="22"/>
    </row>
    <row r="79" spans="1:16384" ht="51" hidden="1" customHeight="1" outlineLevel="1">
      <c r="A79" s="204">
        <f>ПТО!A38</f>
        <v>0</v>
      </c>
      <c r="B79" s="204"/>
      <c r="C79" s="204"/>
      <c r="D79" s="204"/>
      <c r="E79" s="204"/>
      <c r="F79" s="205" t="e">
        <f>VLOOKUP(A79,ПТО!$A$2:$D$51,4,FALSE)</f>
        <v>#N/A</v>
      </c>
      <c r="G79" s="205"/>
      <c r="H79" s="127" t="e">
        <f>VLOOKUP(A79,ПТО!$A$2:$D$51,2,FALSE)</f>
        <v>#N/A</v>
      </c>
      <c r="I79" s="206" t="e">
        <f>VLOOKUP(A79,ПТО!$A$2:$D$51,3,FALSE)</f>
        <v>#N/A</v>
      </c>
      <c r="J79" s="206"/>
      <c r="K79" s="106"/>
      <c r="L79" s="128"/>
      <c r="M79" s="113"/>
      <c r="N79" s="106"/>
      <c r="O79" s="23"/>
      <c r="R79" s="22"/>
    </row>
    <row r="80" spans="1:16384" ht="51" hidden="1" customHeight="1" outlineLevel="1">
      <c r="A80" s="204">
        <f>ПТО!A39</f>
        <v>0</v>
      </c>
      <c r="B80" s="204"/>
      <c r="C80" s="204"/>
      <c r="D80" s="204"/>
      <c r="E80" s="204"/>
      <c r="F80" s="205" t="e">
        <f>VLOOKUP(A80,ПТО!$A$2:$D$51,4,FALSE)</f>
        <v>#N/A</v>
      </c>
      <c r="G80" s="205"/>
      <c r="H80" s="127" t="e">
        <f>VLOOKUP(A80,ПТО!$A$2:$D$51,2,FALSE)</f>
        <v>#N/A</v>
      </c>
      <c r="I80" s="206" t="e">
        <f>VLOOKUP(A80,ПТО!$A$2:$D$51,3,FALSE)</f>
        <v>#N/A</v>
      </c>
      <c r="J80" s="206"/>
      <c r="K80" s="106"/>
      <c r="L80" s="128"/>
      <c r="M80" s="113"/>
      <c r="N80" s="106"/>
      <c r="O80" s="23"/>
      <c r="R80" s="22"/>
    </row>
    <row r="81" spans="1:18" ht="51" hidden="1" customHeight="1" outlineLevel="1">
      <c r="A81" s="204">
        <f>ПТО!A40</f>
        <v>0</v>
      </c>
      <c r="B81" s="204"/>
      <c r="C81" s="204"/>
      <c r="D81" s="204"/>
      <c r="E81" s="204"/>
      <c r="F81" s="205" t="e">
        <f>VLOOKUP(A81,ПТО!$A$2:$D$51,4,FALSE)</f>
        <v>#N/A</v>
      </c>
      <c r="G81" s="205"/>
      <c r="H81" s="127" t="e">
        <f>VLOOKUP(A81,ПТО!$A$2:$D$51,2,FALSE)</f>
        <v>#N/A</v>
      </c>
      <c r="I81" s="206" t="e">
        <f>VLOOKUP(A81,ПТО!$A$2:$D$51,3,FALSE)</f>
        <v>#N/A</v>
      </c>
      <c r="J81" s="206"/>
      <c r="K81" s="106"/>
      <c r="L81" s="128"/>
      <c r="M81" s="113"/>
      <c r="N81" s="106"/>
      <c r="O81" s="23"/>
      <c r="R81" s="22"/>
    </row>
    <row r="82" spans="1:18" ht="51" hidden="1" customHeight="1" outlineLevel="1">
      <c r="A82" s="204">
        <f>ПТО!A41</f>
        <v>0</v>
      </c>
      <c r="B82" s="204"/>
      <c r="C82" s="204"/>
      <c r="D82" s="204"/>
      <c r="E82" s="204"/>
      <c r="F82" s="205" t="e">
        <f>VLOOKUP(A82,ПТО!$A$2:$D$51,4,FALSE)</f>
        <v>#N/A</v>
      </c>
      <c r="G82" s="205"/>
      <c r="H82" s="127" t="e">
        <f>VLOOKUP(A82,ПТО!$A$2:$D$51,2,FALSE)</f>
        <v>#N/A</v>
      </c>
      <c r="I82" s="206" t="e">
        <f>VLOOKUP(A82,ПТО!$A$2:$D$51,3,FALSE)</f>
        <v>#N/A</v>
      </c>
      <c r="J82" s="206"/>
      <c r="K82" s="106"/>
      <c r="L82" s="128"/>
      <c r="M82" s="113"/>
      <c r="N82" s="106"/>
      <c r="O82" s="23"/>
      <c r="R82" s="22"/>
    </row>
    <row r="83" spans="1:18" ht="51" hidden="1" customHeight="1" outlineLevel="1">
      <c r="A83" s="204">
        <f>ПТО!A42</f>
        <v>0</v>
      </c>
      <c r="B83" s="204"/>
      <c r="C83" s="204"/>
      <c r="D83" s="204"/>
      <c r="E83" s="204"/>
      <c r="F83" s="205" t="e">
        <f>VLOOKUP(A83,ПТО!$A$2:$D$51,4,FALSE)</f>
        <v>#N/A</v>
      </c>
      <c r="G83" s="205"/>
      <c r="H83" s="127" t="e">
        <f>VLOOKUP(A83,ПТО!$A$2:$D$51,2,FALSE)</f>
        <v>#N/A</v>
      </c>
      <c r="I83" s="206" t="e">
        <f>VLOOKUP(A83,ПТО!$A$2:$D$51,3,FALSE)</f>
        <v>#N/A</v>
      </c>
      <c r="J83" s="206"/>
      <c r="K83" s="106"/>
      <c r="L83" s="128"/>
      <c r="M83" s="113"/>
      <c r="N83" s="106"/>
      <c r="O83" s="23"/>
      <c r="R83" s="22"/>
    </row>
    <row r="84" spans="1:18" ht="51" hidden="1" customHeight="1" outlineLevel="1">
      <c r="A84" s="204">
        <f>ПТО!A43</f>
        <v>0</v>
      </c>
      <c r="B84" s="204"/>
      <c r="C84" s="204"/>
      <c r="D84" s="204"/>
      <c r="E84" s="204"/>
      <c r="F84" s="205" t="e">
        <f>VLOOKUP(A84,ПТО!$A$2:$D$51,4,FALSE)</f>
        <v>#N/A</v>
      </c>
      <c r="G84" s="205"/>
      <c r="H84" s="127" t="e">
        <f>VLOOKUP(A84,ПТО!$A$2:$D$51,2,FALSE)</f>
        <v>#N/A</v>
      </c>
      <c r="I84" s="206" t="e">
        <f>VLOOKUP(A84,ПТО!$A$2:$D$51,3,FALSE)</f>
        <v>#N/A</v>
      </c>
      <c r="J84" s="206"/>
      <c r="K84" s="106"/>
      <c r="L84" s="128"/>
      <c r="M84" s="113"/>
      <c r="N84" s="106"/>
      <c r="O84" s="23"/>
      <c r="R84" s="22"/>
    </row>
    <row r="85" spans="1:18" ht="51" hidden="1" customHeight="1" outlineLevel="1">
      <c r="A85" s="204">
        <f>ПТО!A44</f>
        <v>0</v>
      </c>
      <c r="B85" s="204"/>
      <c r="C85" s="204"/>
      <c r="D85" s="204"/>
      <c r="E85" s="204"/>
      <c r="F85" s="205" t="e">
        <f>VLOOKUP(A85,ПТО!$A$2:$D$51,4,FALSE)</f>
        <v>#N/A</v>
      </c>
      <c r="G85" s="205"/>
      <c r="H85" s="127" t="e">
        <f>VLOOKUP(A85,ПТО!$A$2:$D$51,2,FALSE)</f>
        <v>#N/A</v>
      </c>
      <c r="I85" s="206" t="e">
        <f>VLOOKUP(A85,ПТО!$A$2:$D$51,3,FALSE)</f>
        <v>#N/A</v>
      </c>
      <c r="J85" s="206"/>
      <c r="K85" s="106"/>
      <c r="L85" s="128"/>
      <c r="M85" s="113"/>
      <c r="N85" s="106"/>
      <c r="O85" s="23"/>
      <c r="R85" s="22"/>
    </row>
    <row r="86" spans="1:18" ht="51" hidden="1" customHeight="1" outlineLevel="1">
      <c r="A86" s="204">
        <f>ПТО!A45</f>
        <v>0</v>
      </c>
      <c r="B86" s="204"/>
      <c r="C86" s="204"/>
      <c r="D86" s="204"/>
      <c r="E86" s="204"/>
      <c r="F86" s="205" t="e">
        <f>VLOOKUP(A86,ПТО!$A$2:$D$51,4,FALSE)</f>
        <v>#N/A</v>
      </c>
      <c r="G86" s="205"/>
      <c r="H86" s="127" t="e">
        <f>VLOOKUP(A86,ПТО!$A$2:$D$51,2,FALSE)</f>
        <v>#N/A</v>
      </c>
      <c r="I86" s="206" t="e">
        <f>VLOOKUP(A86,ПТО!$A$2:$D$51,3,FALSE)</f>
        <v>#N/A</v>
      </c>
      <c r="J86" s="206"/>
      <c r="K86" s="106"/>
      <c r="L86" s="128"/>
      <c r="M86" s="113"/>
      <c r="N86" s="106"/>
      <c r="O86" s="23"/>
      <c r="R86" s="22"/>
    </row>
    <row r="87" spans="1:18" ht="51" hidden="1" customHeight="1" outlineLevel="1">
      <c r="A87" s="204">
        <f>ПТО!A46</f>
        <v>0</v>
      </c>
      <c r="B87" s="204"/>
      <c r="C87" s="204"/>
      <c r="D87" s="204"/>
      <c r="E87" s="204"/>
      <c r="F87" s="205" t="e">
        <f>VLOOKUP(A87,ПТО!$A$2:$D$51,4,FALSE)</f>
        <v>#N/A</v>
      </c>
      <c r="G87" s="205"/>
      <c r="H87" s="127" t="e">
        <f>VLOOKUP(A87,ПТО!$A$2:$D$51,2,FALSE)</f>
        <v>#N/A</v>
      </c>
      <c r="I87" s="206" t="e">
        <f>VLOOKUP(A87,ПТО!$A$2:$D$51,3,FALSE)</f>
        <v>#N/A</v>
      </c>
      <c r="J87" s="206"/>
      <c r="K87" s="106"/>
      <c r="L87" s="128"/>
      <c r="M87" s="113"/>
      <c r="N87" s="106"/>
      <c r="O87" s="23"/>
      <c r="R87" s="22"/>
    </row>
    <row r="88" spans="1:18" ht="51" hidden="1" customHeight="1" outlineLevel="1">
      <c r="A88" s="204">
        <f>ПТО!A47</f>
        <v>0</v>
      </c>
      <c r="B88" s="204"/>
      <c r="C88" s="204"/>
      <c r="D88" s="204"/>
      <c r="E88" s="204"/>
      <c r="F88" s="205" t="e">
        <f>VLOOKUP(A88,ПТО!$A$2:$D$51,4,FALSE)</f>
        <v>#N/A</v>
      </c>
      <c r="G88" s="205"/>
      <c r="H88" s="127" t="e">
        <f>VLOOKUP(A88,ПТО!$A$2:$D$51,2,FALSE)</f>
        <v>#N/A</v>
      </c>
      <c r="I88" s="206" t="e">
        <f>VLOOKUP(A88,ПТО!$A$2:$D$51,3,FALSE)</f>
        <v>#N/A</v>
      </c>
      <c r="J88" s="206"/>
      <c r="K88" s="106"/>
      <c r="L88" s="128"/>
      <c r="M88" s="113"/>
      <c r="N88" s="106"/>
      <c r="O88" s="23"/>
      <c r="R88" s="22"/>
    </row>
    <row r="89" spans="1:18" ht="51" hidden="1" customHeight="1" outlineLevel="1">
      <c r="A89" s="204">
        <f>ПТО!A48</f>
        <v>0</v>
      </c>
      <c r="B89" s="204"/>
      <c r="C89" s="204"/>
      <c r="D89" s="204"/>
      <c r="E89" s="204"/>
      <c r="F89" s="205" t="e">
        <f>VLOOKUP(A89,ПТО!$A$2:$D$51,4,FALSE)</f>
        <v>#N/A</v>
      </c>
      <c r="G89" s="205"/>
      <c r="H89" s="127" t="e">
        <f>VLOOKUP(A89,ПТО!$A$2:$D$51,2,FALSE)</f>
        <v>#N/A</v>
      </c>
      <c r="I89" s="206" t="e">
        <f>VLOOKUP(A89,ПТО!$A$2:$D$51,3,FALSE)</f>
        <v>#N/A</v>
      </c>
      <c r="J89" s="206"/>
      <c r="K89" s="106"/>
      <c r="L89" s="128"/>
      <c r="M89" s="113"/>
      <c r="N89" s="106"/>
      <c r="O89" s="23"/>
      <c r="R89" s="22"/>
    </row>
    <row r="90" spans="1:18" ht="51" hidden="1" customHeight="1" outlineLevel="1">
      <c r="A90" s="204">
        <f>ПТО!A49</f>
        <v>0</v>
      </c>
      <c r="B90" s="204"/>
      <c r="C90" s="204"/>
      <c r="D90" s="204"/>
      <c r="E90" s="204"/>
      <c r="F90" s="205" t="e">
        <f>VLOOKUP(A90,ПТО!$A$2:$D$51,4,FALSE)</f>
        <v>#N/A</v>
      </c>
      <c r="G90" s="205"/>
      <c r="H90" s="127" t="e">
        <f>VLOOKUP(A90,ПТО!$A$2:$D$51,2,FALSE)</f>
        <v>#N/A</v>
      </c>
      <c r="I90" s="206" t="e">
        <f>VLOOKUP(A90,ПТО!$A$2:$D$51,3,FALSE)</f>
        <v>#N/A</v>
      </c>
      <c r="J90" s="206"/>
      <c r="K90" s="106"/>
      <c r="L90" s="128"/>
      <c r="M90" s="113"/>
      <c r="N90" s="106"/>
      <c r="O90" s="23"/>
      <c r="R90" s="22"/>
    </row>
    <row r="91" spans="1:18" ht="51" hidden="1" customHeight="1" outlineLevel="1">
      <c r="A91" s="204">
        <f>ПТО!A50</f>
        <v>0</v>
      </c>
      <c r="B91" s="204"/>
      <c r="C91" s="204"/>
      <c r="D91" s="204"/>
      <c r="E91" s="204"/>
      <c r="F91" s="205" t="e">
        <f>VLOOKUP(A91,ПТО!$A$2:$D$51,4,FALSE)</f>
        <v>#N/A</v>
      </c>
      <c r="G91" s="205"/>
      <c r="H91" s="127" t="e">
        <f>VLOOKUP(A91,ПТО!$A$2:$D$51,2,FALSE)</f>
        <v>#N/A</v>
      </c>
      <c r="I91" s="206" t="e">
        <f>VLOOKUP(A91,ПТО!$A$2:$D$51,3,FALSE)</f>
        <v>#N/A</v>
      </c>
      <c r="J91" s="206"/>
      <c r="K91" s="106"/>
      <c r="L91" s="128"/>
      <c r="M91" s="113"/>
      <c r="N91" s="106"/>
      <c r="O91" s="23"/>
      <c r="R91" s="22"/>
    </row>
    <row r="92" spans="1:18" ht="51" hidden="1" customHeight="1" outlineLevel="1">
      <c r="A92" s="204">
        <f>ПТО!A51</f>
        <v>0</v>
      </c>
      <c r="B92" s="204"/>
      <c r="C92" s="204"/>
      <c r="D92" s="204"/>
      <c r="E92" s="204"/>
      <c r="F92" s="205" t="e">
        <f>VLOOKUP(A92,ПТО!$A$2:$D$51,4,FALSE)</f>
        <v>#N/A</v>
      </c>
      <c r="G92" s="205"/>
      <c r="H92" s="127" t="e">
        <f>VLOOKUP(A92,ПТО!$A$2:$D$51,2,FALSE)</f>
        <v>#N/A</v>
      </c>
      <c r="I92" s="206" t="e">
        <f>VLOOKUP(A92,ПТО!$A$2:$D$51,3,FALSE)</f>
        <v>#N/A</v>
      </c>
      <c r="J92" s="206"/>
      <c r="K92" s="106"/>
      <c r="L92" s="128"/>
      <c r="M92" s="113"/>
      <c r="N92" s="106"/>
      <c r="O92" s="23"/>
      <c r="R92" s="22"/>
    </row>
    <row r="93" spans="1:18">
      <c r="A93" s="101" t="s">
        <v>175</v>
      </c>
      <c r="K93" s="106"/>
      <c r="L93" s="106"/>
      <c r="M93" s="106"/>
      <c r="N93" s="106"/>
    </row>
    <row r="94" spans="1:18">
      <c r="A94" s="12" t="s">
        <v>31</v>
      </c>
      <c r="K94" s="106"/>
      <c r="L94" s="106"/>
      <c r="M94" s="106"/>
      <c r="N94" s="106"/>
    </row>
    <row r="95" spans="1:18" ht="18.75" customHeight="1" outlineLevel="1">
      <c r="A95" s="222" t="s">
        <v>27</v>
      </c>
      <c r="B95" s="222"/>
      <c r="C95" s="222"/>
      <c r="D95" s="222"/>
      <c r="E95" s="222"/>
      <c r="F95" s="222"/>
      <c r="G95" s="222"/>
      <c r="H95" s="222"/>
      <c r="I95" s="222"/>
      <c r="J95" s="8">
        <f>VLOOKUP(O95,АО,3,FALSE)</f>
        <v>0</v>
      </c>
      <c r="K95" s="106"/>
      <c r="L95" s="211"/>
      <c r="M95" s="106"/>
      <c r="N95" s="106"/>
      <c r="O95" s="67" t="s">
        <v>100</v>
      </c>
    </row>
    <row r="96" spans="1:18" ht="18.75" customHeight="1" outlineLevel="1">
      <c r="A96" s="222" t="s">
        <v>28</v>
      </c>
      <c r="B96" s="222"/>
      <c r="C96" s="222"/>
      <c r="D96" s="222"/>
      <c r="E96" s="222"/>
      <c r="F96" s="222"/>
      <c r="G96" s="222"/>
      <c r="H96" s="222"/>
      <c r="I96" s="222"/>
      <c r="J96" s="8">
        <f>VLOOKUP(O96,АО,3,FALSE)</f>
        <v>0</v>
      </c>
      <c r="K96" s="106"/>
      <c r="L96" s="211"/>
      <c r="M96" s="106"/>
      <c r="N96" s="106"/>
      <c r="O96" s="67" t="s">
        <v>101</v>
      </c>
    </row>
    <row r="97" spans="1:15" ht="21.75" customHeight="1" outlineLevel="1">
      <c r="A97" s="222" t="s">
        <v>29</v>
      </c>
      <c r="B97" s="222"/>
      <c r="C97" s="222"/>
      <c r="D97" s="222"/>
      <c r="E97" s="222"/>
      <c r="F97" s="222"/>
      <c r="G97" s="222"/>
      <c r="H97" s="222"/>
      <c r="I97" s="222"/>
      <c r="J97" s="8">
        <f>VLOOKUP(O97,АО,3,FALSE)</f>
        <v>0</v>
      </c>
      <c r="K97" s="106"/>
      <c r="L97" s="211"/>
      <c r="M97" s="106"/>
      <c r="N97" s="106"/>
      <c r="O97" s="67" t="s">
        <v>102</v>
      </c>
    </row>
    <row r="98" spans="1:15" ht="18.75" customHeight="1" outlineLevel="1">
      <c r="A98" s="222" t="s">
        <v>30</v>
      </c>
      <c r="B98" s="222"/>
      <c r="C98" s="222"/>
      <c r="D98" s="222"/>
      <c r="E98" s="222"/>
      <c r="F98" s="222"/>
      <c r="G98" s="222"/>
      <c r="H98" s="222"/>
      <c r="I98" s="222"/>
      <c r="J98" s="94">
        <f>VLOOKUP(O98,АО,3,FALSE)</f>
        <v>0</v>
      </c>
      <c r="K98" s="106"/>
      <c r="L98" s="211"/>
      <c r="M98" s="106"/>
      <c r="N98" s="106"/>
      <c r="O98" s="67" t="s">
        <v>103</v>
      </c>
    </row>
    <row r="99" spans="1:15">
      <c r="A99" s="112" t="s">
        <v>175</v>
      </c>
      <c r="B99" s="7"/>
      <c r="C99" s="7"/>
      <c r="D99" s="7"/>
      <c r="E99" s="7"/>
      <c r="F99" s="7"/>
      <c r="G99" s="7"/>
      <c r="H99" s="7"/>
      <c r="I99" s="7"/>
      <c r="J99" s="7"/>
      <c r="K99" s="106"/>
      <c r="L99" s="106"/>
      <c r="M99" s="106"/>
      <c r="N99" s="106"/>
    </row>
    <row r="100" spans="1:15">
      <c r="A100" s="11" t="s">
        <v>34</v>
      </c>
      <c r="K100" s="106"/>
      <c r="L100" s="106"/>
      <c r="M100" s="106"/>
      <c r="N100" s="106"/>
    </row>
    <row r="101" spans="1:15" outlineLevel="1">
      <c r="A101" s="212" t="s">
        <v>2</v>
      </c>
      <c r="B101" s="212"/>
      <c r="C101" s="212"/>
      <c r="D101" s="212"/>
      <c r="E101" s="212"/>
      <c r="F101" s="212"/>
      <c r="G101" s="212"/>
      <c r="H101" s="212"/>
      <c r="I101" s="212"/>
      <c r="J101" s="94">
        <f t="shared" ref="J101:J110" si="2">VLOOKUP(O101,АО,3,FALSE)</f>
        <v>0</v>
      </c>
      <c r="K101" s="106"/>
      <c r="L101" s="229"/>
      <c r="M101" s="106"/>
      <c r="N101" s="106"/>
      <c r="O101" s="67" t="s">
        <v>104</v>
      </c>
    </row>
    <row r="102" spans="1:15" outlineLevel="1">
      <c r="A102" s="212" t="s">
        <v>3</v>
      </c>
      <c r="B102" s="212"/>
      <c r="C102" s="212"/>
      <c r="D102" s="212"/>
      <c r="E102" s="212"/>
      <c r="F102" s="212"/>
      <c r="G102" s="212"/>
      <c r="H102" s="212"/>
      <c r="I102" s="212"/>
      <c r="J102" s="94">
        <f t="shared" si="2"/>
        <v>0</v>
      </c>
      <c r="K102" s="106"/>
      <c r="L102" s="229"/>
      <c r="M102" s="106"/>
      <c r="N102" s="106"/>
      <c r="O102" s="67" t="s">
        <v>105</v>
      </c>
    </row>
    <row r="103" spans="1:15" outlineLevel="1">
      <c r="A103" s="219" t="s">
        <v>4</v>
      </c>
      <c r="B103" s="220"/>
      <c r="C103" s="220"/>
      <c r="D103" s="220"/>
      <c r="E103" s="220"/>
      <c r="F103" s="220"/>
      <c r="G103" s="220"/>
      <c r="H103" s="220"/>
      <c r="I103" s="221"/>
      <c r="J103" s="94">
        <f t="shared" si="2"/>
        <v>95048.62</v>
      </c>
      <c r="K103" s="106"/>
      <c r="L103" s="229"/>
      <c r="M103" s="106"/>
      <c r="N103" s="106"/>
      <c r="O103" s="67" t="s">
        <v>106</v>
      </c>
    </row>
    <row r="104" spans="1:15" outlineLevel="1">
      <c r="A104" s="219" t="s">
        <v>16</v>
      </c>
      <c r="B104" s="220"/>
      <c r="C104" s="220"/>
      <c r="D104" s="220"/>
      <c r="E104" s="220"/>
      <c r="F104" s="220"/>
      <c r="G104" s="220"/>
      <c r="H104" s="220"/>
      <c r="I104" s="221"/>
      <c r="J104" s="94">
        <f t="shared" si="2"/>
        <v>0</v>
      </c>
      <c r="K104" s="106"/>
      <c r="L104" s="229"/>
      <c r="M104" s="106"/>
      <c r="N104" s="106"/>
      <c r="O104" s="67" t="s">
        <v>107</v>
      </c>
    </row>
    <row r="105" spans="1:15" outlineLevel="1">
      <c r="A105" s="219" t="s">
        <v>17</v>
      </c>
      <c r="B105" s="220"/>
      <c r="C105" s="220"/>
      <c r="D105" s="220"/>
      <c r="E105" s="220"/>
      <c r="F105" s="220"/>
      <c r="G105" s="220"/>
      <c r="H105" s="220"/>
      <c r="I105" s="221"/>
      <c r="J105" s="94">
        <f t="shared" si="2"/>
        <v>0</v>
      </c>
      <c r="K105" s="106"/>
      <c r="L105" s="229"/>
      <c r="M105" s="106"/>
      <c r="N105" s="106"/>
      <c r="O105" s="67" t="s">
        <v>108</v>
      </c>
    </row>
    <row r="106" spans="1:15" outlineLevel="1">
      <c r="A106" s="219" t="s">
        <v>18</v>
      </c>
      <c r="B106" s="220"/>
      <c r="C106" s="220"/>
      <c r="D106" s="220"/>
      <c r="E106" s="220"/>
      <c r="F106" s="220"/>
      <c r="G106" s="220"/>
      <c r="H106" s="220"/>
      <c r="I106" s="221"/>
      <c r="J106" s="94">
        <f t="shared" si="2"/>
        <v>104929.62</v>
      </c>
      <c r="K106" s="106"/>
      <c r="L106" s="229"/>
      <c r="M106" s="106"/>
      <c r="N106" s="106"/>
      <c r="O106" s="67" t="s">
        <v>109</v>
      </c>
    </row>
    <row r="107" spans="1:15" ht="18.75" customHeight="1" outlineLevel="1">
      <c r="A107" s="219" t="s">
        <v>27</v>
      </c>
      <c r="B107" s="220"/>
      <c r="C107" s="220"/>
      <c r="D107" s="220"/>
      <c r="E107" s="220"/>
      <c r="F107" s="220"/>
      <c r="G107" s="220"/>
      <c r="H107" s="220"/>
      <c r="I107" s="221"/>
      <c r="J107" s="8">
        <f t="shared" si="2"/>
        <v>0</v>
      </c>
      <c r="K107" s="106"/>
      <c r="L107" s="229"/>
      <c r="M107" s="106"/>
      <c r="N107" s="106"/>
      <c r="O107" s="67" t="s">
        <v>110</v>
      </c>
    </row>
    <row r="108" spans="1:15" ht="18.75" customHeight="1" outlineLevel="1">
      <c r="A108" s="219" t="s">
        <v>28</v>
      </c>
      <c r="B108" s="220"/>
      <c r="C108" s="220"/>
      <c r="D108" s="220"/>
      <c r="E108" s="220"/>
      <c r="F108" s="220"/>
      <c r="G108" s="220"/>
      <c r="H108" s="220"/>
      <c r="I108" s="221"/>
      <c r="J108" s="8">
        <f t="shared" si="2"/>
        <v>0</v>
      </c>
      <c r="K108" s="106"/>
      <c r="L108" s="229"/>
      <c r="M108" s="106"/>
      <c r="N108" s="106"/>
      <c r="O108" s="67" t="s">
        <v>111</v>
      </c>
    </row>
    <row r="109" spans="1:15" ht="18.75" customHeight="1" outlineLevel="1">
      <c r="A109" s="219" t="s">
        <v>29</v>
      </c>
      <c r="B109" s="220"/>
      <c r="C109" s="220"/>
      <c r="D109" s="220"/>
      <c r="E109" s="220"/>
      <c r="F109" s="220"/>
      <c r="G109" s="220"/>
      <c r="H109" s="220"/>
      <c r="I109" s="221"/>
      <c r="J109" s="8">
        <f t="shared" si="2"/>
        <v>0</v>
      </c>
      <c r="K109" s="106"/>
      <c r="L109" s="229"/>
      <c r="M109" s="106"/>
      <c r="N109" s="106"/>
      <c r="O109" s="67" t="s">
        <v>112</v>
      </c>
    </row>
    <row r="110" spans="1:15" ht="18.75" customHeight="1" outlineLevel="1">
      <c r="A110" s="219" t="s">
        <v>30</v>
      </c>
      <c r="B110" s="220"/>
      <c r="C110" s="220"/>
      <c r="D110" s="220"/>
      <c r="E110" s="220"/>
      <c r="F110" s="220"/>
      <c r="G110" s="220"/>
      <c r="H110" s="220"/>
      <c r="I110" s="221"/>
      <c r="J110" s="94">
        <f t="shared" si="2"/>
        <v>0</v>
      </c>
      <c r="K110" s="106"/>
      <c r="L110" s="229"/>
      <c r="M110" s="106"/>
      <c r="N110" s="106"/>
      <c r="O110" s="67" t="s">
        <v>113</v>
      </c>
    </row>
    <row r="111" spans="1:15">
      <c r="A111" s="101" t="s">
        <v>175</v>
      </c>
      <c r="K111" s="106"/>
      <c r="L111" s="106"/>
      <c r="M111" s="106"/>
      <c r="N111" s="106"/>
    </row>
    <row r="112" spans="1:15">
      <c r="A112" s="11" t="s">
        <v>35</v>
      </c>
      <c r="K112" s="106"/>
      <c r="L112" s="106"/>
      <c r="M112" s="106"/>
      <c r="N112" s="106"/>
    </row>
    <row r="113" spans="1:15" ht="30.75" customHeight="1" outlineLevel="1">
      <c r="A113" s="213" t="s">
        <v>48</v>
      </c>
      <c r="B113" s="213"/>
      <c r="C113" s="213"/>
      <c r="D113" s="216" t="s">
        <v>49</v>
      </c>
      <c r="E113" s="216"/>
      <c r="F113" s="10" t="s">
        <v>50</v>
      </c>
      <c r="G113" s="213" t="s">
        <v>51</v>
      </c>
      <c r="H113" s="213"/>
      <c r="I113" s="213"/>
      <c r="J113" s="213"/>
      <c r="K113" s="106"/>
      <c r="L113" s="106"/>
      <c r="M113" s="106"/>
      <c r="N113" s="106"/>
    </row>
    <row r="114" spans="1:15" hidden="1" outlineLevel="1">
      <c r="A114" s="217">
        <f>IF(VLOOKUP("эл",АО,3,FALSE)&gt;0,"Электроснабжение",0)</f>
        <v>0</v>
      </c>
      <c r="B114" s="217"/>
      <c r="C114" s="217"/>
      <c r="D114" s="215">
        <f>IF(VLOOKUP("эл",АО,3,FALSE)&gt;0,VLOOKUP("эл",АО,3,FALSE),0)</f>
        <v>0</v>
      </c>
      <c r="E114" s="215"/>
      <c r="F114" s="13">
        <f>IF(VLOOKUP("эл",АО,3,FALSE)&gt;0,VLOOKUP("эл",АО,4,FALSE),0)</f>
        <v>0</v>
      </c>
      <c r="G114" s="214">
        <f>VLOOKUP("эл",АО,5,FALSE)</f>
        <v>0</v>
      </c>
      <c r="H114" s="215"/>
      <c r="I114" s="215"/>
      <c r="J114" s="215"/>
      <c r="K114" s="1" t="str">
        <f>VLOOKUP("эл",АО,2,FALSE)</f>
        <v>Электроснабжение</v>
      </c>
      <c r="L114" s="230"/>
    </row>
    <row r="115" spans="1:15" hidden="1" outlineLevel="2">
      <c r="A115" s="218">
        <f>IF(VLOOKUP("эл",АО,3,FALSE)&gt;0,VLOOKUP("эл1",АО,2,FALSE),0)</f>
        <v>0</v>
      </c>
      <c r="B115" s="218"/>
      <c r="C115" s="218"/>
      <c r="D115" s="218"/>
      <c r="E115" s="218"/>
      <c r="F115" s="218"/>
      <c r="G115" s="218"/>
      <c r="H115" s="218"/>
      <c r="I115" s="218"/>
      <c r="J115" s="18">
        <f t="shared" ref="J115:J121" si="3">VLOOKUP(O115,АО,3,FALSE)</f>
        <v>0</v>
      </c>
      <c r="L115" s="230"/>
      <c r="O115" s="1" t="s">
        <v>114</v>
      </c>
    </row>
    <row r="116" spans="1:15" hidden="1" outlineLevel="2">
      <c r="A116" s="218">
        <f>IF(VLOOKUP("эл",АО,3,FALSE)&gt;0,VLOOKUP("эл2",АО,2,FALSE),0)</f>
        <v>0</v>
      </c>
      <c r="B116" s="218"/>
      <c r="C116" s="218"/>
      <c r="D116" s="218"/>
      <c r="E116" s="218"/>
      <c r="F116" s="218"/>
      <c r="G116" s="218"/>
      <c r="H116" s="218"/>
      <c r="I116" s="218"/>
      <c r="J116" s="18">
        <f t="shared" si="3"/>
        <v>0</v>
      </c>
      <c r="L116" s="230"/>
      <c r="O116" s="1" t="s">
        <v>115</v>
      </c>
    </row>
    <row r="117" spans="1:15" hidden="1" outlineLevel="2">
      <c r="A117" s="218">
        <f>IF(VLOOKUP("эл",АО,3,FALSE)&gt;0,VLOOKUP("эл3",АО,2,FALSE),0)</f>
        <v>0</v>
      </c>
      <c r="B117" s="218"/>
      <c r="C117" s="218"/>
      <c r="D117" s="218"/>
      <c r="E117" s="218"/>
      <c r="F117" s="218"/>
      <c r="G117" s="218"/>
      <c r="H117" s="218"/>
      <c r="I117" s="218"/>
      <c r="J117" s="18">
        <f t="shared" si="3"/>
        <v>0</v>
      </c>
      <c r="L117" s="230"/>
      <c r="O117" s="1" t="s">
        <v>116</v>
      </c>
    </row>
    <row r="118" spans="1:15" ht="37.5" hidden="1" customHeight="1" outlineLevel="2">
      <c r="A118" s="218">
        <f>IF(VLOOKUP("эл",АО,3,FALSE)&gt;0,VLOOKUP("эл4",АО,2,FALSE),0)</f>
        <v>0</v>
      </c>
      <c r="B118" s="218"/>
      <c r="C118" s="218"/>
      <c r="D118" s="218"/>
      <c r="E118" s="218"/>
      <c r="F118" s="218"/>
      <c r="G118" s="218"/>
      <c r="H118" s="218"/>
      <c r="I118" s="218"/>
      <c r="J118" s="18">
        <f t="shared" si="3"/>
        <v>0</v>
      </c>
      <c r="L118" s="230"/>
      <c r="O118" s="1" t="s">
        <v>117</v>
      </c>
    </row>
    <row r="119" spans="1:15" hidden="1" outlineLevel="2">
      <c r="A119" s="218">
        <f>IF(VLOOKUP("эл",АО,3,FALSE)&gt;0,VLOOKUP("эл5",АО,2,FALSE),0)</f>
        <v>0</v>
      </c>
      <c r="B119" s="218"/>
      <c r="C119" s="218"/>
      <c r="D119" s="218"/>
      <c r="E119" s="218"/>
      <c r="F119" s="218"/>
      <c r="G119" s="218"/>
      <c r="H119" s="218"/>
      <c r="I119" s="218"/>
      <c r="J119" s="18">
        <f t="shared" si="3"/>
        <v>0</v>
      </c>
      <c r="L119" s="230"/>
      <c r="O119" s="1" t="s">
        <v>118</v>
      </c>
    </row>
    <row r="120" spans="1:15" ht="39" hidden="1" customHeight="1" outlineLevel="2">
      <c r="A120" s="218">
        <f>IF(VLOOKUP("эл",АО,3,FALSE)&gt;0,VLOOKUP("эл6",АО,2,FALSE),0)</f>
        <v>0</v>
      </c>
      <c r="B120" s="218"/>
      <c r="C120" s="218"/>
      <c r="D120" s="218"/>
      <c r="E120" s="218"/>
      <c r="F120" s="218"/>
      <c r="G120" s="218"/>
      <c r="H120" s="218"/>
      <c r="I120" s="218"/>
      <c r="J120" s="18">
        <f t="shared" si="3"/>
        <v>0</v>
      </c>
      <c r="L120" s="230"/>
      <c r="O120" s="1" t="s">
        <v>119</v>
      </c>
    </row>
    <row r="121" spans="1:15" ht="34.5" hidden="1" customHeight="1" outlineLevel="2">
      <c r="A121" s="218">
        <f>IF(VLOOKUP("эл",АО,3,FALSE)&gt;0,VLOOKUP("эл7",АО,2,FALSE),0)</f>
        <v>0</v>
      </c>
      <c r="B121" s="218"/>
      <c r="C121" s="218"/>
      <c r="D121" s="218"/>
      <c r="E121" s="218"/>
      <c r="F121" s="218"/>
      <c r="G121" s="218"/>
      <c r="H121" s="218"/>
      <c r="I121" s="218"/>
      <c r="J121" s="18">
        <f t="shared" si="3"/>
        <v>0</v>
      </c>
      <c r="L121" s="230"/>
      <c r="O121" s="1" t="s">
        <v>120</v>
      </c>
    </row>
    <row r="122" spans="1:15" ht="28.5" customHeight="1" outlineLevel="1">
      <c r="A122" s="217" t="str">
        <f>IF(VLOOKUP("хвс",АО,3,FALSE)&gt;0,"Холодное водоснабжение",0)</f>
        <v>Холодное водоснабжение</v>
      </c>
      <c r="B122" s="217"/>
      <c r="C122" s="217"/>
      <c r="D122" s="215" t="str">
        <f>IF(VLOOKUP("хвс",АО,3,FALSE)&gt;0,VLOOKUP("хвс",АО,3,FALSE),0)</f>
        <v>Предоставляется</v>
      </c>
      <c r="E122" s="215"/>
      <c r="F122" s="13" t="str">
        <f>IF(VLOOKUP("хвс",АО,3,FALSE)&gt;0,VLOOKUP("хвс",АО,4,FALSE),0)</f>
        <v>куб.м.</v>
      </c>
      <c r="G122" s="214">
        <f>VLOOKUP("хвс",АО,5,FALSE)</f>
        <v>327045.50000000012</v>
      </c>
      <c r="H122" s="215"/>
      <c r="I122" s="215"/>
      <c r="J122" s="215"/>
      <c r="L122" s="230"/>
    </row>
    <row r="123" spans="1:15" outlineLevel="2">
      <c r="A123" s="218" t="str">
        <f t="shared" ref="A123:A129" si="4">IF(VLOOKUP("хвс",АО,3,FALSE)&gt;0,VLOOKUP(O123,АО,2,FALSE),0)</f>
        <v>Общий объем потребления, нат. показ.</v>
      </c>
      <c r="B123" s="218"/>
      <c r="C123" s="218"/>
      <c r="D123" s="218"/>
      <c r="E123" s="218"/>
      <c r="F123" s="218"/>
      <c r="G123" s="218"/>
      <c r="H123" s="218"/>
      <c r="I123" s="218"/>
      <c r="J123" s="18">
        <f t="shared" ref="J123:J129" si="5">VLOOKUP(O123,АО,3,FALSE)</f>
        <v>21805.18516081632</v>
      </c>
      <c r="L123" s="230"/>
      <c r="O123" s="1" t="s">
        <v>123</v>
      </c>
    </row>
    <row r="124" spans="1:15" ht="18.75" customHeight="1" outlineLevel="2">
      <c r="A124" s="218" t="str">
        <f t="shared" si="4"/>
        <v>Оплачено потребителями, руб.</v>
      </c>
      <c r="B124" s="218"/>
      <c r="C124" s="218"/>
      <c r="D124" s="218"/>
      <c r="E124" s="218"/>
      <c r="F124" s="218"/>
      <c r="G124" s="218"/>
      <c r="H124" s="218"/>
      <c r="I124" s="218"/>
      <c r="J124" s="18">
        <f t="shared" si="5"/>
        <v>322571.29999999993</v>
      </c>
      <c r="L124" s="230"/>
      <c r="O124" s="1" t="s">
        <v>124</v>
      </c>
    </row>
    <row r="125" spans="1:15" ht="18.75" customHeight="1" outlineLevel="2">
      <c r="A125" s="218" t="str">
        <f t="shared" si="4"/>
        <v>Задолженность потребителей, руб.</v>
      </c>
      <c r="B125" s="218"/>
      <c r="C125" s="218"/>
      <c r="D125" s="218"/>
      <c r="E125" s="218"/>
      <c r="F125" s="218"/>
      <c r="G125" s="218"/>
      <c r="H125" s="218"/>
      <c r="I125" s="218"/>
      <c r="J125" s="18">
        <f t="shared" si="5"/>
        <v>4474.2000000001863</v>
      </c>
      <c r="L125" s="230"/>
      <c r="O125" s="1" t="s">
        <v>125</v>
      </c>
    </row>
    <row r="126" spans="1:15" ht="36.75" customHeight="1" outlineLevel="2">
      <c r="A126" s="218" t="str">
        <f t="shared" si="4"/>
        <v>Начислено поставщиком (поставщиками) коммунального ресурса, руб.</v>
      </c>
      <c r="B126" s="218"/>
      <c r="C126" s="218"/>
      <c r="D126" s="218"/>
      <c r="E126" s="218"/>
      <c r="F126" s="218"/>
      <c r="G126" s="218"/>
      <c r="H126" s="218"/>
      <c r="I126" s="218"/>
      <c r="J126" s="18">
        <f t="shared" si="5"/>
        <v>327045.50000000012</v>
      </c>
      <c r="L126" s="230"/>
      <c r="O126" s="1" t="s">
        <v>126</v>
      </c>
    </row>
    <row r="127" spans="1:15" ht="18.75" customHeight="1" outlineLevel="2">
      <c r="A127" s="218" t="str">
        <f t="shared" si="4"/>
        <v>Оплачено поставщику (поставщикам) коммунального ресурса, руб.</v>
      </c>
      <c r="B127" s="218"/>
      <c r="C127" s="218"/>
      <c r="D127" s="218"/>
      <c r="E127" s="218"/>
      <c r="F127" s="218"/>
      <c r="G127" s="218"/>
      <c r="H127" s="218"/>
      <c r="I127" s="218"/>
      <c r="J127" s="18">
        <f t="shared" si="5"/>
        <v>327045.50000000012</v>
      </c>
      <c r="L127" s="230"/>
      <c r="O127" s="1" t="s">
        <v>127</v>
      </c>
    </row>
    <row r="128" spans="1:15" ht="37.5" customHeight="1" outlineLevel="2">
      <c r="A128" s="218" t="str">
        <f t="shared" si="4"/>
        <v>Задолженность перед поставщиком (поставщиками) коммунального ресурса, руб.</v>
      </c>
      <c r="B128" s="218"/>
      <c r="C128" s="218"/>
      <c r="D128" s="218"/>
      <c r="E128" s="218"/>
      <c r="F128" s="218"/>
      <c r="G128" s="218"/>
      <c r="H128" s="218"/>
      <c r="I128" s="218"/>
      <c r="J128" s="18">
        <f t="shared" si="5"/>
        <v>0</v>
      </c>
      <c r="L128" s="230"/>
      <c r="O128" s="1" t="s">
        <v>128</v>
      </c>
    </row>
    <row r="129" spans="1:15" ht="39.75" customHeight="1" outlineLevel="2">
      <c r="A129" s="218" t="str">
        <f t="shared" si="4"/>
        <v>Размер пени и штрафов, уплаченных поставщику (поставщикам) коммунального ресурса, руб.</v>
      </c>
      <c r="B129" s="218"/>
      <c r="C129" s="218"/>
      <c r="D129" s="218"/>
      <c r="E129" s="218"/>
      <c r="F129" s="218"/>
      <c r="G129" s="218"/>
      <c r="H129" s="218"/>
      <c r="I129" s="218"/>
      <c r="J129" s="18">
        <f t="shared" si="5"/>
        <v>0</v>
      </c>
      <c r="L129" s="230"/>
      <c r="O129" s="1" t="s">
        <v>129</v>
      </c>
    </row>
    <row r="130" spans="1:15" ht="27" customHeight="1" outlineLevel="1">
      <c r="A130" s="217" t="str">
        <f>IF(VLOOKUP("воо",АО,3,FALSE)&gt;0,"Водоотведение",0)</f>
        <v>Водоотведение</v>
      </c>
      <c r="B130" s="217"/>
      <c r="C130" s="217"/>
      <c r="D130" s="215" t="str">
        <f>IF(VLOOKUP("воо",АО,3,FALSE)&gt;0,VLOOKUP("воо",АО,3,FALSE),0)</f>
        <v>Предоставляется</v>
      </c>
      <c r="E130" s="215"/>
      <c r="F130" s="13" t="str">
        <f>IF(VLOOKUP("воо",АО,3,FALSE)&gt;0,VLOOKUP("воо",АО,4,FALSE),0)</f>
        <v>куб.м.</v>
      </c>
      <c r="G130" s="214">
        <f>VLOOKUP("воо",АО,5,FALSE)</f>
        <v>397960.49999999988</v>
      </c>
      <c r="H130" s="215"/>
      <c r="I130" s="215"/>
      <c r="J130" s="215"/>
      <c r="L130" s="230"/>
    </row>
    <row r="131" spans="1:15" outlineLevel="2">
      <c r="A131" s="212" t="str">
        <f t="shared" ref="A131:A137" si="6">IF(VLOOKUP("воо",АО,3,FALSE)&gt;0,VLOOKUP(O131,АО,2,FALSE),0)</f>
        <v>Общий объем потребления, нат. показ.</v>
      </c>
      <c r="B131" s="212"/>
      <c r="C131" s="212"/>
      <c r="D131" s="212"/>
      <c r="E131" s="212"/>
      <c r="F131" s="212"/>
      <c r="G131" s="212"/>
      <c r="H131" s="212"/>
      <c r="I131" s="212"/>
      <c r="J131" s="18">
        <f t="shared" ref="J131:J137" si="7">VLOOKUP(O131,АО,3,FALSE)</f>
        <v>23909.293659170246</v>
      </c>
      <c r="L131" s="230"/>
      <c r="O131" s="1" t="s">
        <v>131</v>
      </c>
    </row>
    <row r="132" spans="1:15" ht="18.75" customHeight="1" outlineLevel="2">
      <c r="A132" s="212" t="str">
        <f t="shared" si="6"/>
        <v>Оплачено потребителями, руб.</v>
      </c>
      <c r="B132" s="212"/>
      <c r="C132" s="212"/>
      <c r="D132" s="212"/>
      <c r="E132" s="212"/>
      <c r="F132" s="212"/>
      <c r="G132" s="212"/>
      <c r="H132" s="212"/>
      <c r="I132" s="212"/>
      <c r="J132" s="18">
        <f t="shared" si="7"/>
        <v>392553.46000000008</v>
      </c>
      <c r="L132" s="230"/>
      <c r="O132" s="1" t="s">
        <v>132</v>
      </c>
    </row>
    <row r="133" spans="1:15" ht="19.5" customHeight="1" outlineLevel="2">
      <c r="A133" s="212" t="str">
        <f t="shared" si="6"/>
        <v>Задолженность потребителей, руб.</v>
      </c>
      <c r="B133" s="212"/>
      <c r="C133" s="212"/>
      <c r="D133" s="212"/>
      <c r="E133" s="212"/>
      <c r="F133" s="212"/>
      <c r="G133" s="212"/>
      <c r="H133" s="212"/>
      <c r="I133" s="212"/>
      <c r="J133" s="18">
        <f t="shared" si="7"/>
        <v>5407.0399999998044</v>
      </c>
      <c r="L133" s="230"/>
      <c r="O133" s="1" t="s">
        <v>133</v>
      </c>
    </row>
    <row r="134" spans="1:15" ht="33" customHeight="1" outlineLevel="2">
      <c r="A134" s="212" t="str">
        <f t="shared" si="6"/>
        <v>Начислено поставщиком (поставщиками) коммунального ресурса, руб.</v>
      </c>
      <c r="B134" s="212"/>
      <c r="C134" s="212"/>
      <c r="D134" s="212"/>
      <c r="E134" s="212"/>
      <c r="F134" s="212"/>
      <c r="G134" s="212"/>
      <c r="H134" s="212"/>
      <c r="I134" s="212"/>
      <c r="J134" s="18">
        <f t="shared" si="7"/>
        <v>397960.49999999988</v>
      </c>
      <c r="L134" s="230"/>
      <c r="O134" s="1" t="s">
        <v>134</v>
      </c>
    </row>
    <row r="135" spans="1:15" ht="18.75" customHeight="1" outlineLevel="2">
      <c r="A135" s="212" t="str">
        <f t="shared" si="6"/>
        <v>Оплачено поставщику (поставщикам) коммунального ресурса, руб.</v>
      </c>
      <c r="B135" s="212"/>
      <c r="C135" s="212"/>
      <c r="D135" s="212"/>
      <c r="E135" s="212"/>
      <c r="F135" s="212"/>
      <c r="G135" s="212"/>
      <c r="H135" s="212"/>
      <c r="I135" s="212"/>
      <c r="J135" s="18">
        <f t="shared" si="7"/>
        <v>397960.49999999988</v>
      </c>
      <c r="L135" s="230"/>
      <c r="O135" s="1" t="s">
        <v>135</v>
      </c>
    </row>
    <row r="136" spans="1:15" ht="33.75" customHeight="1" outlineLevel="2">
      <c r="A136" s="212" t="str">
        <f t="shared" si="6"/>
        <v>Задолженность перед поставщиком (поставщиками) коммунального ресурса, руб.</v>
      </c>
      <c r="B136" s="212"/>
      <c r="C136" s="212"/>
      <c r="D136" s="212"/>
      <c r="E136" s="212"/>
      <c r="F136" s="212"/>
      <c r="G136" s="212"/>
      <c r="H136" s="212"/>
      <c r="I136" s="212"/>
      <c r="J136" s="18">
        <f t="shared" si="7"/>
        <v>0</v>
      </c>
      <c r="L136" s="230"/>
      <c r="O136" s="1" t="s">
        <v>136</v>
      </c>
    </row>
    <row r="137" spans="1:15" ht="32.25" customHeight="1" outlineLevel="2">
      <c r="A137" s="212" t="str">
        <f t="shared" si="6"/>
        <v>Размер пени и штрафов, уплаченных поставщику (поставщикам) коммунального ресурса, руб.</v>
      </c>
      <c r="B137" s="212"/>
      <c r="C137" s="212"/>
      <c r="D137" s="212"/>
      <c r="E137" s="212"/>
      <c r="F137" s="212"/>
      <c r="G137" s="212"/>
      <c r="H137" s="212"/>
      <c r="I137" s="212"/>
      <c r="J137" s="18">
        <f t="shared" si="7"/>
        <v>0</v>
      </c>
      <c r="L137" s="230"/>
      <c r="O137" s="1" t="s">
        <v>137</v>
      </c>
    </row>
    <row r="138" spans="1:15" ht="32.25" hidden="1" customHeight="1" outlineLevel="1">
      <c r="A138" s="217">
        <f>IF(VLOOKUP("тко",АО,3,FALSE)&gt;0,"Обращение с ТКО",0)</f>
        <v>0</v>
      </c>
      <c r="B138" s="217"/>
      <c r="C138" s="217"/>
      <c r="D138" s="215">
        <f>IF(VLOOKUP("тко",АО,3,FALSE)&gt;0,VLOOKUP("тко",АО,3,FALSE),0)</f>
        <v>0</v>
      </c>
      <c r="E138" s="215"/>
      <c r="F138" s="13">
        <f>IF(VLOOKUP("тко",АО,3,FALSE)&gt;0,VLOOKUP("тко",АО,4,FALSE),0)</f>
        <v>0</v>
      </c>
      <c r="G138" s="214">
        <f>VLOOKUP("тко",АО,5,FALSE)</f>
        <v>0</v>
      </c>
      <c r="H138" s="215"/>
      <c r="I138" s="215"/>
      <c r="J138" s="215"/>
      <c r="L138" s="45"/>
    </row>
    <row r="139" spans="1:15" ht="32.25" hidden="1" customHeight="1" outlineLevel="2">
      <c r="A139" s="212">
        <f t="shared" ref="A139:A145" si="8">IF(VLOOKUP("тко",АО,3,FALSE)&gt;0,VLOOKUP(O139,АО,2,FALSE),0)</f>
        <v>0</v>
      </c>
      <c r="B139" s="212"/>
      <c r="C139" s="212"/>
      <c r="D139" s="212"/>
      <c r="E139" s="212"/>
      <c r="F139" s="212"/>
      <c r="G139" s="212"/>
      <c r="H139" s="212"/>
      <c r="I139" s="212"/>
      <c r="J139" s="18">
        <f t="shared" ref="J139:J145" si="9">VLOOKUP(O139,АО,3,FALSE)</f>
        <v>0</v>
      </c>
      <c r="L139" s="45"/>
      <c r="O139" s="1" t="s">
        <v>139</v>
      </c>
    </row>
    <row r="140" spans="1:15" ht="32.25" hidden="1" customHeight="1" outlineLevel="2">
      <c r="A140" s="212">
        <f t="shared" si="8"/>
        <v>0</v>
      </c>
      <c r="B140" s="212"/>
      <c r="C140" s="212"/>
      <c r="D140" s="212"/>
      <c r="E140" s="212"/>
      <c r="F140" s="212"/>
      <c r="G140" s="212"/>
      <c r="H140" s="212"/>
      <c r="I140" s="212"/>
      <c r="J140" s="18">
        <f t="shared" si="9"/>
        <v>0</v>
      </c>
      <c r="L140" s="45"/>
      <c r="O140" s="1" t="s">
        <v>140</v>
      </c>
    </row>
    <row r="141" spans="1:15" ht="32.25" hidden="1" customHeight="1" outlineLevel="2">
      <c r="A141" s="212">
        <f t="shared" si="8"/>
        <v>0</v>
      </c>
      <c r="B141" s="212"/>
      <c r="C141" s="212"/>
      <c r="D141" s="212"/>
      <c r="E141" s="212"/>
      <c r="F141" s="212"/>
      <c r="G141" s="212"/>
      <c r="H141" s="212"/>
      <c r="I141" s="212"/>
      <c r="J141" s="18">
        <f t="shared" si="9"/>
        <v>0</v>
      </c>
      <c r="L141" s="45"/>
      <c r="O141" s="1" t="s">
        <v>141</v>
      </c>
    </row>
    <row r="142" spans="1:15" ht="32.25" hidden="1" customHeight="1" outlineLevel="2">
      <c r="A142" s="212">
        <f t="shared" si="8"/>
        <v>0</v>
      </c>
      <c r="B142" s="212"/>
      <c r="C142" s="212"/>
      <c r="D142" s="212"/>
      <c r="E142" s="212"/>
      <c r="F142" s="212"/>
      <c r="G142" s="212"/>
      <c r="H142" s="212"/>
      <c r="I142" s="212"/>
      <c r="J142" s="18">
        <f t="shared" si="9"/>
        <v>0</v>
      </c>
      <c r="L142" s="45"/>
      <c r="O142" s="1" t="s">
        <v>142</v>
      </c>
    </row>
    <row r="143" spans="1:15" ht="32.25" hidden="1" customHeight="1" outlineLevel="2">
      <c r="A143" s="212">
        <f t="shared" si="8"/>
        <v>0</v>
      </c>
      <c r="B143" s="212"/>
      <c r="C143" s="212"/>
      <c r="D143" s="212"/>
      <c r="E143" s="212"/>
      <c r="F143" s="212"/>
      <c r="G143" s="212"/>
      <c r="H143" s="212"/>
      <c r="I143" s="212"/>
      <c r="J143" s="18">
        <f t="shared" si="9"/>
        <v>0</v>
      </c>
      <c r="L143" s="45"/>
      <c r="O143" s="1" t="s">
        <v>143</v>
      </c>
    </row>
    <row r="144" spans="1:15" ht="32.25" hidden="1" customHeight="1" outlineLevel="2">
      <c r="A144" s="212">
        <f t="shared" si="8"/>
        <v>0</v>
      </c>
      <c r="B144" s="212"/>
      <c r="C144" s="212"/>
      <c r="D144" s="212"/>
      <c r="E144" s="212"/>
      <c r="F144" s="212"/>
      <c r="G144" s="212"/>
      <c r="H144" s="212"/>
      <c r="I144" s="212"/>
      <c r="J144" s="18">
        <f t="shared" si="9"/>
        <v>0</v>
      </c>
      <c r="L144" s="45"/>
      <c r="O144" s="1" t="s">
        <v>144</v>
      </c>
    </row>
    <row r="145" spans="1:15" ht="32.25" hidden="1" customHeight="1" outlineLevel="2">
      <c r="A145" s="212">
        <f t="shared" si="8"/>
        <v>0</v>
      </c>
      <c r="B145" s="212"/>
      <c r="C145" s="212"/>
      <c r="D145" s="212"/>
      <c r="E145" s="212"/>
      <c r="F145" s="212"/>
      <c r="G145" s="212"/>
      <c r="H145" s="212"/>
      <c r="I145" s="212"/>
      <c r="J145" s="18">
        <f t="shared" si="9"/>
        <v>0</v>
      </c>
      <c r="L145" s="45"/>
      <c r="O145" s="1" t="s">
        <v>145</v>
      </c>
    </row>
    <row r="146" spans="1:15" ht="32.25" hidden="1" customHeight="1" outlineLevel="1">
      <c r="A146" s="217">
        <f>IF(VLOOKUP("гвс",АО,3,FALSE)&gt;0,"Горячее водоснабжение",0)</f>
        <v>0</v>
      </c>
      <c r="B146" s="217"/>
      <c r="C146" s="217"/>
      <c r="D146" s="215">
        <f>IF(VLOOKUP("гвс",АО,3,FALSE)&gt;0,VLOOKUP("гвс",АО,3,FALSE),0)</f>
        <v>0</v>
      </c>
      <c r="E146" s="215"/>
      <c r="F146" s="13">
        <f>IF(VLOOKUP("гвс",АО,3,FALSE)&gt;0,VLOOKUP("гвс",АО,4,FALSE),0)</f>
        <v>0</v>
      </c>
      <c r="G146" s="214">
        <f>VLOOKUP("гвс",АО,5,FALSE)</f>
        <v>0</v>
      </c>
      <c r="H146" s="215"/>
      <c r="I146" s="215"/>
      <c r="J146" s="215"/>
      <c r="L146" s="45"/>
    </row>
    <row r="147" spans="1:15" ht="32.25" hidden="1" customHeight="1" outlineLevel="2">
      <c r="A147" s="212">
        <f t="shared" ref="A147:A153" si="10">IF(VLOOKUP("гвс",АО,3,FALSE)&gt;0,VLOOKUP(O147,АО,2,FALSE),0)</f>
        <v>0</v>
      </c>
      <c r="B147" s="212"/>
      <c r="C147" s="212"/>
      <c r="D147" s="212"/>
      <c r="E147" s="212"/>
      <c r="F147" s="212"/>
      <c r="G147" s="212"/>
      <c r="H147" s="212"/>
      <c r="I147" s="212"/>
      <c r="J147" s="18">
        <f t="shared" ref="J147:J153" si="11">VLOOKUP(O147,АО,3,FALSE)</f>
        <v>0</v>
      </c>
      <c r="L147" s="45"/>
      <c r="O147" s="1" t="s">
        <v>147</v>
      </c>
    </row>
    <row r="148" spans="1:15" ht="32.25" hidden="1" customHeight="1" outlineLevel="2">
      <c r="A148" s="212">
        <f t="shared" si="10"/>
        <v>0</v>
      </c>
      <c r="B148" s="212"/>
      <c r="C148" s="212"/>
      <c r="D148" s="212"/>
      <c r="E148" s="212"/>
      <c r="F148" s="212"/>
      <c r="G148" s="212"/>
      <c r="H148" s="212"/>
      <c r="I148" s="212"/>
      <c r="J148" s="18">
        <f t="shared" si="11"/>
        <v>0</v>
      </c>
      <c r="L148" s="45"/>
      <c r="O148" s="1" t="s">
        <v>148</v>
      </c>
    </row>
    <row r="149" spans="1:15" ht="32.25" hidden="1" customHeight="1" outlineLevel="2">
      <c r="A149" s="212">
        <f t="shared" si="10"/>
        <v>0</v>
      </c>
      <c r="B149" s="212"/>
      <c r="C149" s="212"/>
      <c r="D149" s="212"/>
      <c r="E149" s="212"/>
      <c r="F149" s="212"/>
      <c r="G149" s="212"/>
      <c r="H149" s="212"/>
      <c r="I149" s="212"/>
      <c r="J149" s="18">
        <f t="shared" si="11"/>
        <v>0</v>
      </c>
      <c r="L149" s="45"/>
      <c r="O149" s="1" t="s">
        <v>149</v>
      </c>
    </row>
    <row r="150" spans="1:15" ht="32.25" hidden="1" customHeight="1" outlineLevel="2">
      <c r="A150" s="212">
        <f t="shared" si="10"/>
        <v>0</v>
      </c>
      <c r="B150" s="212"/>
      <c r="C150" s="212"/>
      <c r="D150" s="212"/>
      <c r="E150" s="212"/>
      <c r="F150" s="212"/>
      <c r="G150" s="212"/>
      <c r="H150" s="212"/>
      <c r="I150" s="212"/>
      <c r="J150" s="18">
        <f t="shared" si="11"/>
        <v>0</v>
      </c>
      <c r="L150" s="45"/>
      <c r="O150" s="1" t="s">
        <v>150</v>
      </c>
    </row>
    <row r="151" spans="1:15" ht="32.25" hidden="1" customHeight="1" outlineLevel="2">
      <c r="A151" s="212">
        <f t="shared" si="10"/>
        <v>0</v>
      </c>
      <c r="B151" s="212"/>
      <c r="C151" s="212"/>
      <c r="D151" s="212"/>
      <c r="E151" s="212"/>
      <c r="F151" s="212"/>
      <c r="G151" s="212"/>
      <c r="H151" s="212"/>
      <c r="I151" s="212"/>
      <c r="J151" s="18">
        <f t="shared" si="11"/>
        <v>0</v>
      </c>
      <c r="L151" s="45"/>
      <c r="O151" s="1" t="s">
        <v>151</v>
      </c>
    </row>
    <row r="152" spans="1:15" ht="32.25" hidden="1" customHeight="1" outlineLevel="2">
      <c r="A152" s="212">
        <f t="shared" si="10"/>
        <v>0</v>
      </c>
      <c r="B152" s="212"/>
      <c r="C152" s="212"/>
      <c r="D152" s="212"/>
      <c r="E152" s="212"/>
      <c r="F152" s="212"/>
      <c r="G152" s="212"/>
      <c r="H152" s="212"/>
      <c r="I152" s="212"/>
      <c r="J152" s="18">
        <f t="shared" si="11"/>
        <v>0</v>
      </c>
      <c r="L152" s="45"/>
      <c r="O152" s="1" t="s">
        <v>152</v>
      </c>
    </row>
    <row r="153" spans="1:15" ht="32.25" hidden="1" customHeight="1" outlineLevel="2">
      <c r="A153" s="212">
        <f t="shared" si="10"/>
        <v>0</v>
      </c>
      <c r="B153" s="212"/>
      <c r="C153" s="212"/>
      <c r="D153" s="212"/>
      <c r="E153" s="212"/>
      <c r="F153" s="212"/>
      <c r="G153" s="212"/>
      <c r="H153" s="212"/>
      <c r="I153" s="212"/>
      <c r="J153" s="18">
        <f t="shared" si="11"/>
        <v>0</v>
      </c>
      <c r="L153" s="45"/>
      <c r="O153" s="1" t="s">
        <v>153</v>
      </c>
    </row>
    <row r="154" spans="1:15" ht="32.25" hidden="1" customHeight="1" outlineLevel="1">
      <c r="A154" s="217">
        <f>IF(VLOOKUP("отопление",АО,3,FALSE)&gt;0,"Отопление",0)</f>
        <v>0</v>
      </c>
      <c r="B154" s="217"/>
      <c r="C154" s="217"/>
      <c r="D154" s="215">
        <f>IF(VLOOKUP("отопление",АО,3,FALSE)&gt;0,VLOOKUP("отопление",АО,3,FALSE),0)</f>
        <v>0</v>
      </c>
      <c r="E154" s="215"/>
      <c r="F154" s="13">
        <f>IF(VLOOKUP("отопление",АО,3,FALSE)&gt;0,VLOOKUP("отопление",АО,4,FALSE),0)</f>
        <v>0</v>
      </c>
      <c r="G154" s="214">
        <f>VLOOKUP("отопление",АО,5,FALSE)</f>
        <v>0</v>
      </c>
      <c r="H154" s="215"/>
      <c r="I154" s="215"/>
      <c r="J154" s="215"/>
      <c r="L154" s="45"/>
    </row>
    <row r="155" spans="1:15" ht="32.25" hidden="1" customHeight="1" outlineLevel="2">
      <c r="A155" s="212">
        <f t="shared" ref="A155:A161" si="12">IF(VLOOKUP("отопление",АО,3,FALSE)&gt;0,VLOOKUP(O155,АО,2,FALSE),0)</f>
        <v>0</v>
      </c>
      <c r="B155" s="212"/>
      <c r="C155" s="212"/>
      <c r="D155" s="212"/>
      <c r="E155" s="212"/>
      <c r="F155" s="212"/>
      <c r="G155" s="212"/>
      <c r="H155" s="212"/>
      <c r="I155" s="212"/>
      <c r="J155" s="18">
        <f t="shared" ref="J155:J161" si="13">VLOOKUP(O155,АО,3,FALSE)</f>
        <v>0</v>
      </c>
      <c r="L155" s="45"/>
      <c r="O155" s="1" t="s">
        <v>155</v>
      </c>
    </row>
    <row r="156" spans="1:15" ht="32.25" hidden="1" customHeight="1" outlineLevel="2">
      <c r="A156" s="212">
        <f t="shared" si="12"/>
        <v>0</v>
      </c>
      <c r="B156" s="212"/>
      <c r="C156" s="212"/>
      <c r="D156" s="212"/>
      <c r="E156" s="212"/>
      <c r="F156" s="212"/>
      <c r="G156" s="212"/>
      <c r="H156" s="212"/>
      <c r="I156" s="212"/>
      <c r="J156" s="18">
        <f t="shared" si="13"/>
        <v>0</v>
      </c>
      <c r="L156" s="45"/>
      <c r="O156" s="1" t="s">
        <v>156</v>
      </c>
    </row>
    <row r="157" spans="1:15" ht="32.25" hidden="1" customHeight="1" outlineLevel="2">
      <c r="A157" s="212">
        <f t="shared" si="12"/>
        <v>0</v>
      </c>
      <c r="B157" s="212"/>
      <c r="C157" s="212"/>
      <c r="D157" s="212"/>
      <c r="E157" s="212"/>
      <c r="F157" s="212"/>
      <c r="G157" s="212"/>
      <c r="H157" s="212"/>
      <c r="I157" s="212"/>
      <c r="J157" s="18">
        <f t="shared" si="13"/>
        <v>0</v>
      </c>
      <c r="L157" s="45"/>
      <c r="O157" s="1" t="s">
        <v>157</v>
      </c>
    </row>
    <row r="158" spans="1:15" ht="32.25" hidden="1" customHeight="1" outlineLevel="2">
      <c r="A158" s="212">
        <f t="shared" si="12"/>
        <v>0</v>
      </c>
      <c r="B158" s="212"/>
      <c r="C158" s="212"/>
      <c r="D158" s="212"/>
      <c r="E158" s="212"/>
      <c r="F158" s="212"/>
      <c r="G158" s="212"/>
      <c r="H158" s="212"/>
      <c r="I158" s="212"/>
      <c r="J158" s="18">
        <f t="shared" si="13"/>
        <v>0</v>
      </c>
      <c r="L158" s="45"/>
      <c r="O158" s="1" t="s">
        <v>158</v>
      </c>
    </row>
    <row r="159" spans="1:15" ht="32.25" hidden="1" customHeight="1" outlineLevel="2">
      <c r="A159" s="212">
        <f t="shared" si="12"/>
        <v>0</v>
      </c>
      <c r="B159" s="212"/>
      <c r="C159" s="212"/>
      <c r="D159" s="212"/>
      <c r="E159" s="212"/>
      <c r="F159" s="212"/>
      <c r="G159" s="212"/>
      <c r="H159" s="212"/>
      <c r="I159" s="212"/>
      <c r="J159" s="18">
        <f t="shared" si="13"/>
        <v>0</v>
      </c>
      <c r="L159" s="45"/>
      <c r="O159" s="1" t="s">
        <v>159</v>
      </c>
    </row>
    <row r="160" spans="1:15" ht="32.25" hidden="1" customHeight="1" outlineLevel="2">
      <c r="A160" s="212">
        <f t="shared" si="12"/>
        <v>0</v>
      </c>
      <c r="B160" s="212"/>
      <c r="C160" s="212"/>
      <c r="D160" s="212"/>
      <c r="E160" s="212"/>
      <c r="F160" s="212"/>
      <c r="G160" s="212"/>
      <c r="H160" s="212"/>
      <c r="I160" s="212"/>
      <c r="J160" s="18">
        <f t="shared" si="13"/>
        <v>0</v>
      </c>
      <c r="L160" s="45"/>
      <c r="O160" s="1" t="s">
        <v>160</v>
      </c>
    </row>
    <row r="161" spans="1:15" ht="32.25" hidden="1" customHeight="1" outlineLevel="2">
      <c r="A161" s="212">
        <f t="shared" si="12"/>
        <v>0</v>
      </c>
      <c r="B161" s="212"/>
      <c r="C161" s="212"/>
      <c r="D161" s="212"/>
      <c r="E161" s="212"/>
      <c r="F161" s="212"/>
      <c r="G161" s="212"/>
      <c r="H161" s="212"/>
      <c r="I161" s="212"/>
      <c r="J161" s="18">
        <f t="shared" si="13"/>
        <v>0</v>
      </c>
      <c r="L161" s="45"/>
      <c r="O161" s="1" t="s">
        <v>161</v>
      </c>
    </row>
    <row r="163" spans="1:15">
      <c r="A163" s="11" t="s">
        <v>44</v>
      </c>
    </row>
    <row r="164" spans="1:15" ht="18.75" customHeight="1" outlineLevel="1">
      <c r="A164" s="212" t="s">
        <v>45</v>
      </c>
      <c r="B164" s="212"/>
      <c r="C164" s="212"/>
      <c r="D164" s="212"/>
      <c r="E164" s="212"/>
      <c r="F164" s="212"/>
      <c r="G164" s="212"/>
      <c r="H164" s="212"/>
      <c r="I164" s="212"/>
      <c r="J164" s="14">
        <f>VLOOKUP(O164,юр,3,FALSE)</f>
        <v>0</v>
      </c>
      <c r="O164" t="s">
        <v>171</v>
      </c>
    </row>
    <row r="165" spans="1:15" ht="18.75" customHeight="1" outlineLevel="1">
      <c r="A165" s="212" t="s">
        <v>46</v>
      </c>
      <c r="B165" s="212"/>
      <c r="C165" s="212"/>
      <c r="D165" s="212"/>
      <c r="E165" s="212"/>
      <c r="F165" s="212"/>
      <c r="G165" s="212"/>
      <c r="H165" s="212"/>
      <c r="I165" s="212"/>
      <c r="J165" s="14">
        <f>VLOOKUP(O165,юр,3,FALSE)</f>
        <v>7</v>
      </c>
      <c r="L165" s="15"/>
      <c r="O165" t="s">
        <v>172</v>
      </c>
    </row>
    <row r="166" spans="1:15" ht="30" customHeight="1" outlineLevel="1">
      <c r="A166" s="212" t="s">
        <v>174</v>
      </c>
      <c r="B166" s="212"/>
      <c r="C166" s="212"/>
      <c r="D166" s="212"/>
      <c r="E166" s="212"/>
      <c r="F166" s="212"/>
      <c r="G166" s="212"/>
      <c r="H166" s="212"/>
      <c r="I166" s="212"/>
      <c r="J166" s="9">
        <f>VLOOKUP(O166,юр,3,FALSE)</f>
        <v>0</v>
      </c>
      <c r="O166" t="s">
        <v>173</v>
      </c>
    </row>
    <row r="169" spans="1:15" ht="52.5" customHeight="1">
      <c r="A169" s="208" t="s">
        <v>186</v>
      </c>
      <c r="B169" s="208"/>
      <c r="C169" s="208"/>
      <c r="D169" s="208"/>
      <c r="E169" s="208"/>
      <c r="F169" s="208"/>
      <c r="G169" s="208"/>
      <c r="H169" s="208"/>
      <c r="I169" s="208"/>
      <c r="J169" s="208"/>
    </row>
    <row r="171" spans="1:15">
      <c r="A171" s="1" t="s">
        <v>0</v>
      </c>
      <c r="E171" s="3">
        <v>44562</v>
      </c>
    </row>
    <row r="172" spans="1:15">
      <c r="A172" s="1" t="s">
        <v>1</v>
      </c>
      <c r="E172" s="3">
        <v>44926</v>
      </c>
    </row>
    <row r="174" spans="1:15" ht="39.75" customHeight="1">
      <c r="A174" s="207" t="s">
        <v>192</v>
      </c>
      <c r="B174" s="207"/>
      <c r="C174" s="207"/>
      <c r="D174" s="207"/>
      <c r="E174" s="26">
        <f>ПТО!G1</f>
        <v>-700503.58</v>
      </c>
    </row>
    <row r="175" spans="1:15" ht="34.5" customHeight="1">
      <c r="A175" s="209" t="s">
        <v>191</v>
      </c>
      <c r="B175" s="209"/>
      <c r="C175" s="209"/>
      <c r="D175" s="209"/>
      <c r="E175" s="27">
        <f>J13</f>
        <v>552549.38399999996</v>
      </c>
      <c r="F175" s="21"/>
      <c r="G175" s="21"/>
      <c r="H175" s="25"/>
      <c r="I175" s="21"/>
    </row>
    <row r="176" spans="1:15">
      <c r="N176" s="1" t="e">
        <f>INDEX($O$28:$O$42,SMALL(IF(#REF!=R28:R42,ROW(O28:O52)-27,""),ROW()-133))</f>
        <v>#REF!</v>
      </c>
    </row>
    <row r="177" spans="1:14" ht="63">
      <c r="A177" s="210" t="s">
        <v>19</v>
      </c>
      <c r="B177" s="210"/>
      <c r="C177" s="210"/>
      <c r="D177" s="210"/>
      <c r="E177" s="210"/>
      <c r="F177" s="210" t="s">
        <v>20</v>
      </c>
      <c r="G177" s="210"/>
      <c r="H177" s="20" t="s">
        <v>57</v>
      </c>
      <c r="I177" s="210" t="s">
        <v>21</v>
      </c>
      <c r="J177" s="210"/>
    </row>
    <row r="178" spans="1:14" ht="29.25" customHeight="1">
      <c r="A178" s="204" t="str">
        <f t="shared" ref="A178:A183" si="14">IF(N178&gt;0,N178,0)</f>
        <v xml:space="preserve">Техническое освидетельствование лифтов. </v>
      </c>
      <c r="B178" s="204"/>
      <c r="C178" s="204"/>
      <c r="D178" s="204"/>
      <c r="E178" s="204"/>
      <c r="F178" s="205">
        <f>IF(ISERROR(VLOOKUP(A178,$A$28:$J$92,6,FALSE)),0,VLOOKUP(A178,$A$28:$J$92,6,FALSE))</f>
        <v>30000</v>
      </c>
      <c r="G178" s="205"/>
      <c r="H178" s="24" t="str">
        <f>VLOOKUP(A178,$A$28:$J$92,8,FALSE)</f>
        <v>ежегодно</v>
      </c>
      <c r="I178" s="206">
        <f>VLOOKUP(A178,$A$28:$J$92,9,FALSE)</f>
        <v>4</v>
      </c>
      <c r="J178" s="206"/>
      <c r="M178" s="22" t="s">
        <v>72</v>
      </c>
      <c r="N178" s="1" t="str">
        <f>ПТО!A2</f>
        <v xml:space="preserve">Техническое освидетельствование лифтов. </v>
      </c>
    </row>
    <row r="179" spans="1:14" ht="28.5" customHeight="1">
      <c r="A179" s="204" t="str">
        <f t="shared" si="14"/>
        <v>Техническое обслуживание системы видеонаблюдения.</v>
      </c>
      <c r="B179" s="204"/>
      <c r="C179" s="204"/>
      <c r="D179" s="204"/>
      <c r="E179" s="204"/>
      <c r="F179" s="205">
        <f t="shared" ref="F179:F227" si="15">IF(ISERROR(VLOOKUP(A179,$A$28:$J$92,6,FALSE)),0,VLOOKUP(A179,$A$28:$J$92,6,FALSE))</f>
        <v>33600</v>
      </c>
      <c r="G179" s="205"/>
      <c r="H179" s="127" t="str">
        <f t="shared" ref="H179:H227" si="16">VLOOKUP(A179,$A$28:$J$92,8,FALSE)</f>
        <v>ежемесячно</v>
      </c>
      <c r="I179" s="206">
        <f t="shared" ref="I179:I227" si="17">VLOOKUP(A179,$A$28:$J$92,9,FALSE)</f>
        <v>12</v>
      </c>
      <c r="J179" s="206"/>
      <c r="M179" s="22" t="s">
        <v>72</v>
      </c>
      <c r="N179" s="1" t="str">
        <f>ПТО!A3</f>
        <v>Техническое обслуживание системы видеонаблюдения.</v>
      </c>
    </row>
    <row r="180" spans="1:14" ht="28.5" customHeight="1">
      <c r="A180" s="204" t="str">
        <f t="shared" si="14"/>
        <v>Замена блока питания регистратора системы видеонаблюдения.</v>
      </c>
      <c r="B180" s="204"/>
      <c r="C180" s="204"/>
      <c r="D180" s="204"/>
      <c r="E180" s="204"/>
      <c r="F180" s="205">
        <f t="shared" si="15"/>
        <v>785</v>
      </c>
      <c r="G180" s="205"/>
      <c r="H180" s="127" t="str">
        <f t="shared" si="16"/>
        <v>разово</v>
      </c>
      <c r="I180" s="206">
        <f t="shared" si="17"/>
        <v>1</v>
      </c>
      <c r="J180" s="206"/>
      <c r="M180" s="22" t="s">
        <v>72</v>
      </c>
      <c r="N180" s="1" t="str">
        <f>ПТО!A4</f>
        <v>Замена блока питания регистратора системы видеонаблюдения.</v>
      </c>
    </row>
    <row r="181" spans="1:14" ht="28.5" customHeight="1">
      <c r="A181" s="204" t="str">
        <f>IF(N181&gt;0,N181,0)</f>
        <v>Устранение засора канализационной сети.</v>
      </c>
      <c r="B181" s="204"/>
      <c r="C181" s="204"/>
      <c r="D181" s="204"/>
      <c r="E181" s="204"/>
      <c r="F181" s="205">
        <f t="shared" si="15"/>
        <v>9000</v>
      </c>
      <c r="G181" s="205"/>
      <c r="H181" s="127" t="str">
        <f t="shared" si="16"/>
        <v>разово</v>
      </c>
      <c r="I181" s="206">
        <f t="shared" si="17"/>
        <v>1</v>
      </c>
      <c r="J181" s="206"/>
      <c r="M181" s="22" t="s">
        <v>72</v>
      </c>
      <c r="N181" s="1" t="str">
        <f>ПТО!A5</f>
        <v>Устранение засора канализационной сети.</v>
      </c>
    </row>
    <row r="182" spans="1:14" ht="28.5" customHeight="1">
      <c r="A182" s="204" t="str">
        <f t="shared" si="14"/>
        <v>Замена блока питания и контроллера системы домофон (13 этаж).</v>
      </c>
      <c r="B182" s="204"/>
      <c r="C182" s="204"/>
      <c r="D182" s="204"/>
      <c r="E182" s="204"/>
      <c r="F182" s="205">
        <f t="shared" si="15"/>
        <v>3600</v>
      </c>
      <c r="G182" s="205"/>
      <c r="H182" s="127" t="str">
        <f t="shared" si="16"/>
        <v>разово</v>
      </c>
      <c r="I182" s="206">
        <f t="shared" si="17"/>
        <v>1</v>
      </c>
      <c r="J182" s="206"/>
      <c r="M182" s="22" t="s">
        <v>72</v>
      </c>
      <c r="N182" s="1" t="str">
        <f>ПТО!A6</f>
        <v>Замена блока питания и контроллера системы домофон (13 этаж).</v>
      </c>
    </row>
    <row r="183" spans="1:14" ht="28.5" customHeight="1">
      <c r="A183" s="204" t="str">
        <f t="shared" si="14"/>
        <v>Замена каната ограничения скорости кабины лифта (1 подъезд).</v>
      </c>
      <c r="B183" s="204"/>
      <c r="C183" s="204"/>
      <c r="D183" s="204"/>
      <c r="E183" s="204"/>
      <c r="F183" s="205">
        <f t="shared" si="15"/>
        <v>15089</v>
      </c>
      <c r="G183" s="205"/>
      <c r="H183" s="127" t="str">
        <f t="shared" si="16"/>
        <v>разово</v>
      </c>
      <c r="I183" s="206">
        <f t="shared" si="17"/>
        <v>1</v>
      </c>
      <c r="J183" s="206"/>
      <c r="M183" s="22" t="s">
        <v>72</v>
      </c>
      <c r="N183" s="1" t="str">
        <f>ПТО!A7</f>
        <v>Замена каната ограничения скорости кабины лифта (1 подъезд).</v>
      </c>
    </row>
    <row r="184" spans="1:14" ht="28.5" customHeight="1">
      <c r="A184" s="204" t="str">
        <f t="shared" ref="A184:A207" si="18">IF(N184&gt;0,N184,0)</f>
        <v>Замена блока питания системы домофон (2 подъезд, 14 этаж).</v>
      </c>
      <c r="B184" s="204"/>
      <c r="C184" s="204"/>
      <c r="D184" s="204"/>
      <c r="E184" s="204"/>
      <c r="F184" s="205">
        <f t="shared" si="15"/>
        <v>2000</v>
      </c>
      <c r="G184" s="205"/>
      <c r="H184" s="127" t="str">
        <f t="shared" si="16"/>
        <v>разово</v>
      </c>
      <c r="I184" s="206">
        <f t="shared" si="17"/>
        <v>1</v>
      </c>
      <c r="J184" s="206"/>
      <c r="M184" s="22" t="s">
        <v>72</v>
      </c>
      <c r="N184" s="1" t="str">
        <f>ПТО!A8</f>
        <v>Замена блока питания системы домофон (2 подъезд, 14 этаж).</v>
      </c>
    </row>
    <row r="185" spans="1:14" ht="28.5" customHeight="1">
      <c r="A185" s="204" t="str">
        <f t="shared" si="18"/>
        <v>Перекатка пожарных рукавов на новую скатку (28 шт.).</v>
      </c>
      <c r="B185" s="204"/>
      <c r="C185" s="204"/>
      <c r="D185" s="204"/>
      <c r="E185" s="204"/>
      <c r="F185" s="205">
        <f t="shared" si="15"/>
        <v>7000</v>
      </c>
      <c r="G185" s="205"/>
      <c r="H185" s="127" t="str">
        <f t="shared" si="16"/>
        <v>разово</v>
      </c>
      <c r="I185" s="206">
        <f t="shared" si="17"/>
        <v>1</v>
      </c>
      <c r="J185" s="206"/>
      <c r="M185" s="22" t="s">
        <v>72</v>
      </c>
      <c r="N185" s="1" t="str">
        <f>ПТО!A9</f>
        <v>Перекатка пожарных рукавов на новую скатку (28 шт.).</v>
      </c>
    </row>
    <row r="186" spans="1:14" ht="28.5" customHeight="1">
      <c r="A186" s="204" t="str">
        <f t="shared" si="18"/>
        <v>Замена блока питания системы видеонаблюдения.</v>
      </c>
      <c r="B186" s="204"/>
      <c r="C186" s="204"/>
      <c r="D186" s="204"/>
      <c r="E186" s="204"/>
      <c r="F186" s="205">
        <f t="shared" si="15"/>
        <v>843</v>
      </c>
      <c r="G186" s="205"/>
      <c r="H186" s="127" t="str">
        <f t="shared" si="16"/>
        <v>разово</v>
      </c>
      <c r="I186" s="206">
        <f t="shared" si="17"/>
        <v>1</v>
      </c>
      <c r="J186" s="206"/>
      <c r="M186" s="22" t="s">
        <v>72</v>
      </c>
      <c r="N186" s="1" t="str">
        <f>ПТО!A10</f>
        <v>Замена блока питания системы видеонаблюдения.</v>
      </c>
    </row>
    <row r="187" spans="1:14" ht="28.5" customHeight="1">
      <c r="A187" s="204" t="str">
        <f t="shared" si="18"/>
        <v>Организация и проведение праздника "1 Сентября".</v>
      </c>
      <c r="B187" s="204"/>
      <c r="C187" s="204"/>
      <c r="D187" s="204"/>
      <c r="E187" s="204"/>
      <c r="F187" s="205">
        <f t="shared" si="15"/>
        <v>3600</v>
      </c>
      <c r="G187" s="205"/>
      <c r="H187" s="127" t="str">
        <f t="shared" si="16"/>
        <v>разово</v>
      </c>
      <c r="I187" s="206">
        <f t="shared" si="17"/>
        <v>1</v>
      </c>
      <c r="J187" s="206"/>
      <c r="M187" s="22" t="s">
        <v>72</v>
      </c>
      <c r="N187" s="1" t="str">
        <f>ПТО!A11</f>
        <v>Организация и проведение праздника "1 Сентября".</v>
      </c>
    </row>
    <row r="188" spans="1:14" ht="28.5" customHeight="1">
      <c r="A188" s="204" t="str">
        <f t="shared" si="18"/>
        <v>Проверка и диагностика пожарных выходов.</v>
      </c>
      <c r="B188" s="204"/>
      <c r="C188" s="204"/>
      <c r="D188" s="204"/>
      <c r="E188" s="204"/>
      <c r="F188" s="205">
        <f t="shared" si="15"/>
        <v>1000</v>
      </c>
      <c r="G188" s="205"/>
      <c r="H188" s="127" t="str">
        <f t="shared" si="16"/>
        <v>разово</v>
      </c>
      <c r="I188" s="206">
        <f t="shared" si="17"/>
        <v>1</v>
      </c>
      <c r="J188" s="206"/>
      <c r="M188" s="22" t="s">
        <v>72</v>
      </c>
      <c r="N188" s="1" t="str">
        <f>ПТО!A12</f>
        <v>Проверка и диагностика пожарных выходов.</v>
      </c>
    </row>
    <row r="189" spans="1:14" ht="28.5" customHeight="1">
      <c r="A189" s="204" t="str">
        <f t="shared" si="18"/>
        <v>Приобретение и замена фасадной плитки.</v>
      </c>
      <c r="B189" s="204"/>
      <c r="C189" s="204"/>
      <c r="D189" s="204"/>
      <c r="E189" s="204"/>
      <c r="F189" s="205">
        <f t="shared" si="15"/>
        <v>14831.6</v>
      </c>
      <c r="G189" s="205"/>
      <c r="H189" s="127" t="str">
        <f t="shared" si="16"/>
        <v>разово</v>
      </c>
      <c r="I189" s="206">
        <f t="shared" si="17"/>
        <v>1</v>
      </c>
      <c r="J189" s="206"/>
      <c r="M189" s="22" t="s">
        <v>72</v>
      </c>
      <c r="N189" s="1" t="str">
        <f>ПТО!A13</f>
        <v>Приобретение и замена фасадной плитки.</v>
      </c>
    </row>
    <row r="190" spans="1:14" ht="28.5" customHeight="1">
      <c r="A190" s="204" t="str">
        <f t="shared" si="18"/>
        <v>Замена и восстановление светодиодных светильников (1, 2 подъезды, 25 шт.).</v>
      </c>
      <c r="B190" s="204"/>
      <c r="C190" s="204"/>
      <c r="D190" s="204"/>
      <c r="E190" s="204"/>
      <c r="F190" s="205">
        <f t="shared" si="15"/>
        <v>37500</v>
      </c>
      <c r="G190" s="205"/>
      <c r="H190" s="127" t="str">
        <f t="shared" si="16"/>
        <v>разово</v>
      </c>
      <c r="I190" s="206">
        <f t="shared" si="17"/>
        <v>1</v>
      </c>
      <c r="J190" s="206"/>
      <c r="M190" s="22" t="s">
        <v>72</v>
      </c>
      <c r="N190" s="1" t="str">
        <f>ПТО!A14</f>
        <v>Замена и восстановление светодиодных светильников (1, 2 подъезды, 25 шт.).</v>
      </c>
    </row>
    <row r="191" spans="1:14" ht="28.5" customHeight="1">
      <c r="A191" s="204" t="str">
        <f t="shared" si="18"/>
        <v>Ремонт прибор охрано-пожарной безопасности для автономной работы.</v>
      </c>
      <c r="B191" s="204"/>
      <c r="C191" s="204"/>
      <c r="D191" s="204"/>
      <c r="E191" s="204"/>
      <c r="F191" s="205">
        <f t="shared" si="15"/>
        <v>5000</v>
      </c>
      <c r="G191" s="205"/>
      <c r="H191" s="127" t="str">
        <f t="shared" si="16"/>
        <v>разово</v>
      </c>
      <c r="I191" s="206">
        <f t="shared" si="17"/>
        <v>1</v>
      </c>
      <c r="J191" s="206"/>
      <c r="M191" s="22" t="s">
        <v>72</v>
      </c>
      <c r="N191" s="1" t="str">
        <f>ПТО!A15</f>
        <v>Ремонт прибор охрано-пожарной безопасности для автономной работы.</v>
      </c>
    </row>
    <row r="192" spans="1:14" ht="28.5" customHeight="1">
      <c r="A192" s="204" t="str">
        <f t="shared" si="18"/>
        <v>Восстановление питания (14 этаж), замена кнопки выхода, замена контроллера пожарного выхода (13 этаж).</v>
      </c>
      <c r="B192" s="204"/>
      <c r="C192" s="204"/>
      <c r="D192" s="204"/>
      <c r="E192" s="204"/>
      <c r="F192" s="205">
        <f t="shared" si="15"/>
        <v>5100</v>
      </c>
      <c r="G192" s="205"/>
      <c r="H192" s="127" t="str">
        <f t="shared" si="16"/>
        <v>разово</v>
      </c>
      <c r="I192" s="206">
        <f t="shared" si="17"/>
        <v>1</v>
      </c>
      <c r="J192" s="206"/>
      <c r="M192" s="22" t="s">
        <v>72</v>
      </c>
      <c r="N192" s="1" t="str">
        <f>ПТО!A16</f>
        <v>Восстановление питания (14 этаж), замена кнопки выхода, замена контроллера пожарного выхода (13 этаж).</v>
      </c>
    </row>
    <row r="193" spans="1:14" ht="28.5" customHeight="1">
      <c r="A193" s="204" t="str">
        <f t="shared" si="18"/>
        <v>Проведение Новогоднего праздника (подарки 90 шт.).</v>
      </c>
      <c r="B193" s="204"/>
      <c r="C193" s="204"/>
      <c r="D193" s="204"/>
      <c r="E193" s="204"/>
      <c r="F193" s="205">
        <f t="shared" si="15"/>
        <v>20050</v>
      </c>
      <c r="G193" s="205"/>
      <c r="H193" s="127" t="str">
        <f t="shared" si="16"/>
        <v>разово</v>
      </c>
      <c r="I193" s="206">
        <f t="shared" si="17"/>
        <v>1</v>
      </c>
      <c r="J193" s="206"/>
      <c r="M193" s="22" t="s">
        <v>72</v>
      </c>
      <c r="N193" s="1" t="str">
        <f>ПТО!A17</f>
        <v>Проведение Новогоднего праздника (подарки 90 шт.).</v>
      </c>
    </row>
    <row r="194" spans="1:14" ht="28.5" customHeight="1">
      <c r="A194" s="204" t="str">
        <f t="shared" si="18"/>
        <v>Определение границ земельного участка.</v>
      </c>
      <c r="B194" s="204"/>
      <c r="C194" s="204"/>
      <c r="D194" s="204"/>
      <c r="E194" s="204"/>
      <c r="F194" s="205">
        <f t="shared" si="15"/>
        <v>4652</v>
      </c>
      <c r="G194" s="205"/>
      <c r="H194" s="127" t="str">
        <f t="shared" si="16"/>
        <v>разово</v>
      </c>
      <c r="I194" s="206">
        <f t="shared" si="17"/>
        <v>1</v>
      </c>
      <c r="J194" s="206"/>
      <c r="M194" s="22" t="s">
        <v>72</v>
      </c>
      <c r="N194" s="1" t="str">
        <f>ПТО!A18</f>
        <v>Определение границ земельного участка.</v>
      </c>
    </row>
    <row r="195" spans="1:14" ht="28.5" hidden="1" customHeight="1">
      <c r="A195" s="204">
        <f t="shared" si="18"/>
        <v>0</v>
      </c>
      <c r="B195" s="204"/>
      <c r="C195" s="204"/>
      <c r="D195" s="204"/>
      <c r="E195" s="204"/>
      <c r="F195" s="205">
        <f t="shared" si="15"/>
        <v>0</v>
      </c>
      <c r="G195" s="205"/>
      <c r="H195" s="127" t="e">
        <f t="shared" si="16"/>
        <v>#N/A</v>
      </c>
      <c r="I195" s="206" t="e">
        <f t="shared" si="17"/>
        <v>#N/A</v>
      </c>
      <c r="J195" s="206"/>
      <c r="M195" s="22" t="s">
        <v>72</v>
      </c>
      <c r="N195" s="1">
        <f>ПТО!A19</f>
        <v>0</v>
      </c>
    </row>
    <row r="196" spans="1:14" ht="28.5" hidden="1" customHeight="1">
      <c r="A196" s="204">
        <f t="shared" si="18"/>
        <v>0</v>
      </c>
      <c r="B196" s="204"/>
      <c r="C196" s="204"/>
      <c r="D196" s="204"/>
      <c r="E196" s="204"/>
      <c r="F196" s="205">
        <f t="shared" si="15"/>
        <v>0</v>
      </c>
      <c r="G196" s="205"/>
      <c r="H196" s="127" t="e">
        <f t="shared" si="16"/>
        <v>#N/A</v>
      </c>
      <c r="I196" s="206" t="e">
        <f t="shared" si="17"/>
        <v>#N/A</v>
      </c>
      <c r="J196" s="206"/>
      <c r="M196" s="22" t="s">
        <v>72</v>
      </c>
      <c r="N196" s="1">
        <f>ПТО!A20</f>
        <v>0</v>
      </c>
    </row>
    <row r="197" spans="1:14" ht="28.5" hidden="1" customHeight="1">
      <c r="A197" s="204">
        <f t="shared" si="18"/>
        <v>0</v>
      </c>
      <c r="B197" s="204"/>
      <c r="C197" s="204"/>
      <c r="D197" s="204"/>
      <c r="E197" s="204"/>
      <c r="F197" s="205">
        <f t="shared" si="15"/>
        <v>0</v>
      </c>
      <c r="G197" s="205"/>
      <c r="H197" s="127" t="e">
        <f t="shared" si="16"/>
        <v>#N/A</v>
      </c>
      <c r="I197" s="206" t="e">
        <f t="shared" si="17"/>
        <v>#N/A</v>
      </c>
      <c r="J197" s="206"/>
      <c r="M197" s="22" t="s">
        <v>72</v>
      </c>
      <c r="N197" s="1">
        <f>ПТО!A21</f>
        <v>0</v>
      </c>
    </row>
    <row r="198" spans="1:14" ht="28.5" hidden="1" customHeight="1">
      <c r="A198" s="204">
        <f t="shared" si="18"/>
        <v>0</v>
      </c>
      <c r="B198" s="204"/>
      <c r="C198" s="204"/>
      <c r="D198" s="204"/>
      <c r="E198" s="204"/>
      <c r="F198" s="205">
        <f t="shared" si="15"/>
        <v>0</v>
      </c>
      <c r="G198" s="205"/>
      <c r="H198" s="127" t="e">
        <f t="shared" si="16"/>
        <v>#N/A</v>
      </c>
      <c r="I198" s="206" t="e">
        <f t="shared" si="17"/>
        <v>#N/A</v>
      </c>
      <c r="J198" s="206"/>
      <c r="M198" s="22" t="s">
        <v>72</v>
      </c>
      <c r="N198" s="1">
        <f>ПТО!A22</f>
        <v>0</v>
      </c>
    </row>
    <row r="199" spans="1:14" ht="28.5" hidden="1" customHeight="1">
      <c r="A199" s="204">
        <f t="shared" si="18"/>
        <v>0</v>
      </c>
      <c r="B199" s="204"/>
      <c r="C199" s="204"/>
      <c r="D199" s="204"/>
      <c r="E199" s="204"/>
      <c r="F199" s="205">
        <f t="shared" si="15"/>
        <v>0</v>
      </c>
      <c r="G199" s="205"/>
      <c r="H199" s="127" t="e">
        <f t="shared" si="16"/>
        <v>#N/A</v>
      </c>
      <c r="I199" s="206" t="e">
        <f t="shared" si="17"/>
        <v>#N/A</v>
      </c>
      <c r="J199" s="206"/>
      <c r="M199" s="22" t="s">
        <v>72</v>
      </c>
      <c r="N199" s="1">
        <f>ПТО!A23</f>
        <v>0</v>
      </c>
    </row>
    <row r="200" spans="1:14" ht="28.5" hidden="1" customHeight="1">
      <c r="A200" s="204">
        <f t="shared" si="18"/>
        <v>0</v>
      </c>
      <c r="B200" s="204"/>
      <c r="C200" s="204"/>
      <c r="D200" s="204"/>
      <c r="E200" s="204"/>
      <c r="F200" s="205">
        <f t="shared" si="15"/>
        <v>0</v>
      </c>
      <c r="G200" s="205"/>
      <c r="H200" s="127" t="e">
        <f t="shared" si="16"/>
        <v>#N/A</v>
      </c>
      <c r="I200" s="206" t="e">
        <f t="shared" si="17"/>
        <v>#N/A</v>
      </c>
      <c r="J200" s="206"/>
      <c r="M200" s="22" t="s">
        <v>72</v>
      </c>
      <c r="N200" s="1">
        <f>ПТО!A24</f>
        <v>0</v>
      </c>
    </row>
    <row r="201" spans="1:14" ht="28.5" hidden="1" customHeight="1">
      <c r="A201" s="204">
        <f t="shared" si="18"/>
        <v>0</v>
      </c>
      <c r="B201" s="204"/>
      <c r="C201" s="204"/>
      <c r="D201" s="204"/>
      <c r="E201" s="204"/>
      <c r="F201" s="205">
        <f t="shared" si="15"/>
        <v>0</v>
      </c>
      <c r="G201" s="205"/>
      <c r="H201" s="127" t="e">
        <f t="shared" si="16"/>
        <v>#N/A</v>
      </c>
      <c r="I201" s="206" t="e">
        <f t="shared" si="17"/>
        <v>#N/A</v>
      </c>
      <c r="J201" s="206"/>
      <c r="M201" s="22" t="s">
        <v>72</v>
      </c>
      <c r="N201" s="1">
        <f>ПТО!A25</f>
        <v>0</v>
      </c>
    </row>
    <row r="202" spans="1:14" ht="28.5" hidden="1" customHeight="1">
      <c r="A202" s="204">
        <f t="shared" si="18"/>
        <v>0</v>
      </c>
      <c r="B202" s="204"/>
      <c r="C202" s="204"/>
      <c r="D202" s="204"/>
      <c r="E202" s="204"/>
      <c r="F202" s="205">
        <f t="shared" si="15"/>
        <v>0</v>
      </c>
      <c r="G202" s="205"/>
      <c r="H202" s="127" t="e">
        <f t="shared" si="16"/>
        <v>#N/A</v>
      </c>
      <c r="I202" s="206" t="e">
        <f t="shared" si="17"/>
        <v>#N/A</v>
      </c>
      <c r="J202" s="206"/>
      <c r="M202" s="22" t="s">
        <v>72</v>
      </c>
      <c r="N202" s="1">
        <f>ПТО!A26</f>
        <v>0</v>
      </c>
    </row>
    <row r="203" spans="1:14" ht="28.5" hidden="1" customHeight="1">
      <c r="A203" s="204">
        <f t="shared" si="18"/>
        <v>0</v>
      </c>
      <c r="B203" s="204"/>
      <c r="C203" s="204"/>
      <c r="D203" s="204"/>
      <c r="E203" s="204"/>
      <c r="F203" s="205">
        <f t="shared" si="15"/>
        <v>0</v>
      </c>
      <c r="G203" s="205"/>
      <c r="H203" s="127" t="e">
        <f t="shared" si="16"/>
        <v>#N/A</v>
      </c>
      <c r="I203" s="206" t="e">
        <f t="shared" si="17"/>
        <v>#N/A</v>
      </c>
      <c r="J203" s="206"/>
      <c r="M203" s="22" t="s">
        <v>72</v>
      </c>
      <c r="N203" s="1">
        <f>ПТО!A27</f>
        <v>0</v>
      </c>
    </row>
    <row r="204" spans="1:14" ht="28.5" hidden="1" customHeight="1">
      <c r="A204" s="204">
        <f t="shared" si="18"/>
        <v>0</v>
      </c>
      <c r="B204" s="204"/>
      <c r="C204" s="204"/>
      <c r="D204" s="204"/>
      <c r="E204" s="204"/>
      <c r="F204" s="205">
        <f t="shared" si="15"/>
        <v>0</v>
      </c>
      <c r="G204" s="205"/>
      <c r="H204" s="127" t="e">
        <f t="shared" si="16"/>
        <v>#N/A</v>
      </c>
      <c r="I204" s="206" t="e">
        <f t="shared" si="17"/>
        <v>#N/A</v>
      </c>
      <c r="J204" s="206"/>
      <c r="M204" s="22" t="s">
        <v>72</v>
      </c>
      <c r="N204" s="1">
        <f>ПТО!A28</f>
        <v>0</v>
      </c>
    </row>
    <row r="205" spans="1:14" ht="28.5" hidden="1" customHeight="1">
      <c r="A205" s="204">
        <f t="shared" si="18"/>
        <v>0</v>
      </c>
      <c r="B205" s="204"/>
      <c r="C205" s="204"/>
      <c r="D205" s="204"/>
      <c r="E205" s="204"/>
      <c r="F205" s="205">
        <f t="shared" si="15"/>
        <v>0</v>
      </c>
      <c r="G205" s="205"/>
      <c r="H205" s="127" t="e">
        <f t="shared" si="16"/>
        <v>#N/A</v>
      </c>
      <c r="I205" s="206" t="e">
        <f t="shared" si="17"/>
        <v>#N/A</v>
      </c>
      <c r="J205" s="206"/>
      <c r="M205" s="22" t="s">
        <v>72</v>
      </c>
      <c r="N205" s="1">
        <f>ПТО!A29</f>
        <v>0</v>
      </c>
    </row>
    <row r="206" spans="1:14" ht="28.5" hidden="1" customHeight="1">
      <c r="A206" s="204">
        <f>IF(N206&gt;0,N206,0)</f>
        <v>0</v>
      </c>
      <c r="B206" s="204"/>
      <c r="C206" s="204"/>
      <c r="D206" s="204"/>
      <c r="E206" s="204"/>
      <c r="F206" s="205">
        <f t="shared" si="15"/>
        <v>0</v>
      </c>
      <c r="G206" s="205"/>
      <c r="H206" s="127" t="e">
        <f t="shared" si="16"/>
        <v>#N/A</v>
      </c>
      <c r="I206" s="206" t="e">
        <f t="shared" si="17"/>
        <v>#N/A</v>
      </c>
      <c r="J206" s="206"/>
      <c r="M206" s="22" t="s">
        <v>72</v>
      </c>
      <c r="N206" s="1">
        <f>ПТО!A30</f>
        <v>0</v>
      </c>
    </row>
    <row r="207" spans="1:14" ht="28.5" hidden="1" customHeight="1">
      <c r="A207" s="204">
        <f t="shared" si="18"/>
        <v>0</v>
      </c>
      <c r="B207" s="204"/>
      <c r="C207" s="204"/>
      <c r="D207" s="204"/>
      <c r="E207" s="204"/>
      <c r="F207" s="205">
        <f t="shared" si="15"/>
        <v>0</v>
      </c>
      <c r="G207" s="205"/>
      <c r="H207" s="127" t="e">
        <f t="shared" si="16"/>
        <v>#N/A</v>
      </c>
      <c r="I207" s="206" t="e">
        <f t="shared" si="17"/>
        <v>#N/A</v>
      </c>
      <c r="J207" s="206"/>
      <c r="M207" s="22" t="s">
        <v>72</v>
      </c>
      <c r="N207" s="1">
        <f>ПТО!A31</f>
        <v>0</v>
      </c>
    </row>
    <row r="208" spans="1:14" ht="28.5" hidden="1" customHeight="1">
      <c r="A208" s="204">
        <f t="shared" ref="A208:A227" si="19">IF(N208&gt;0,N208,0)</f>
        <v>0</v>
      </c>
      <c r="B208" s="204"/>
      <c r="C208" s="204"/>
      <c r="D208" s="204"/>
      <c r="E208" s="204"/>
      <c r="F208" s="205">
        <f t="shared" si="15"/>
        <v>0</v>
      </c>
      <c r="G208" s="205"/>
      <c r="H208" s="127" t="e">
        <f t="shared" si="16"/>
        <v>#N/A</v>
      </c>
      <c r="I208" s="206" t="e">
        <f t="shared" si="17"/>
        <v>#N/A</v>
      </c>
      <c r="J208" s="206"/>
      <c r="M208" s="22"/>
      <c r="N208" s="1">
        <f>ПТО!A32</f>
        <v>0</v>
      </c>
    </row>
    <row r="209" spans="1:14" ht="28.5" hidden="1" customHeight="1">
      <c r="A209" s="204">
        <f t="shared" si="19"/>
        <v>0</v>
      </c>
      <c r="B209" s="204"/>
      <c r="C209" s="204"/>
      <c r="D209" s="204"/>
      <c r="E209" s="204"/>
      <c r="F209" s="205">
        <f t="shared" si="15"/>
        <v>0</v>
      </c>
      <c r="G209" s="205"/>
      <c r="H209" s="127" t="e">
        <f t="shared" si="16"/>
        <v>#N/A</v>
      </c>
      <c r="I209" s="206" t="e">
        <f t="shared" si="17"/>
        <v>#N/A</v>
      </c>
      <c r="J209" s="206"/>
      <c r="M209" s="22"/>
      <c r="N209" s="1">
        <f>ПТО!A33</f>
        <v>0</v>
      </c>
    </row>
    <row r="210" spans="1:14" ht="28.5" hidden="1" customHeight="1">
      <c r="A210" s="204">
        <f t="shared" si="19"/>
        <v>0</v>
      </c>
      <c r="B210" s="204"/>
      <c r="C210" s="204"/>
      <c r="D210" s="204"/>
      <c r="E210" s="204"/>
      <c r="F210" s="205">
        <f t="shared" si="15"/>
        <v>0</v>
      </c>
      <c r="G210" s="205"/>
      <c r="H210" s="127" t="e">
        <f t="shared" si="16"/>
        <v>#N/A</v>
      </c>
      <c r="I210" s="206" t="e">
        <f t="shared" si="17"/>
        <v>#N/A</v>
      </c>
      <c r="J210" s="206"/>
      <c r="M210" s="22"/>
      <c r="N210" s="1">
        <f>ПТО!A34</f>
        <v>0</v>
      </c>
    </row>
    <row r="211" spans="1:14" ht="28.5" hidden="1" customHeight="1">
      <c r="A211" s="204">
        <f t="shared" si="19"/>
        <v>0</v>
      </c>
      <c r="B211" s="204"/>
      <c r="C211" s="204"/>
      <c r="D211" s="204"/>
      <c r="E211" s="204"/>
      <c r="F211" s="205">
        <f t="shared" si="15"/>
        <v>0</v>
      </c>
      <c r="G211" s="205"/>
      <c r="H211" s="127" t="e">
        <f t="shared" si="16"/>
        <v>#N/A</v>
      </c>
      <c r="I211" s="206" t="e">
        <f t="shared" si="17"/>
        <v>#N/A</v>
      </c>
      <c r="J211" s="206"/>
      <c r="M211" s="22"/>
      <c r="N211" s="1">
        <f>ПТО!A35</f>
        <v>0</v>
      </c>
    </row>
    <row r="212" spans="1:14" ht="28.5" hidden="1" customHeight="1">
      <c r="A212" s="204">
        <f t="shared" si="19"/>
        <v>0</v>
      </c>
      <c r="B212" s="204"/>
      <c r="C212" s="204"/>
      <c r="D212" s="204"/>
      <c r="E212" s="204"/>
      <c r="F212" s="205">
        <f t="shared" si="15"/>
        <v>0</v>
      </c>
      <c r="G212" s="205"/>
      <c r="H212" s="127" t="e">
        <f t="shared" si="16"/>
        <v>#N/A</v>
      </c>
      <c r="I212" s="206" t="e">
        <f t="shared" si="17"/>
        <v>#N/A</v>
      </c>
      <c r="J212" s="206"/>
      <c r="M212" s="22"/>
      <c r="N212" s="1">
        <f>ПТО!A36</f>
        <v>0</v>
      </c>
    </row>
    <row r="213" spans="1:14" ht="28.5" hidden="1" customHeight="1">
      <c r="A213" s="204">
        <f t="shared" si="19"/>
        <v>0</v>
      </c>
      <c r="B213" s="204"/>
      <c r="C213" s="204"/>
      <c r="D213" s="204"/>
      <c r="E213" s="204"/>
      <c r="F213" s="205">
        <f t="shared" si="15"/>
        <v>0</v>
      </c>
      <c r="G213" s="205"/>
      <c r="H213" s="127" t="e">
        <f t="shared" si="16"/>
        <v>#N/A</v>
      </c>
      <c r="I213" s="206" t="e">
        <f t="shared" si="17"/>
        <v>#N/A</v>
      </c>
      <c r="J213" s="206"/>
      <c r="M213" s="22"/>
      <c r="N213" s="1">
        <f>ПТО!A37</f>
        <v>0</v>
      </c>
    </row>
    <row r="214" spans="1:14" ht="28.5" hidden="1" customHeight="1">
      <c r="A214" s="204">
        <f t="shared" si="19"/>
        <v>0</v>
      </c>
      <c r="B214" s="204"/>
      <c r="C214" s="204"/>
      <c r="D214" s="204"/>
      <c r="E214" s="204"/>
      <c r="F214" s="205">
        <f t="shared" si="15"/>
        <v>0</v>
      </c>
      <c r="G214" s="205"/>
      <c r="H214" s="127" t="e">
        <f t="shared" si="16"/>
        <v>#N/A</v>
      </c>
      <c r="I214" s="206" t="e">
        <f t="shared" si="17"/>
        <v>#N/A</v>
      </c>
      <c r="J214" s="206"/>
      <c r="M214" s="22"/>
      <c r="N214" s="1">
        <f>ПТО!A38</f>
        <v>0</v>
      </c>
    </row>
    <row r="215" spans="1:14" ht="28.5" hidden="1" customHeight="1">
      <c r="A215" s="204">
        <f t="shared" si="19"/>
        <v>0</v>
      </c>
      <c r="B215" s="204"/>
      <c r="C215" s="204"/>
      <c r="D215" s="204"/>
      <c r="E215" s="204"/>
      <c r="F215" s="205">
        <f t="shared" si="15"/>
        <v>0</v>
      </c>
      <c r="G215" s="205"/>
      <c r="H215" s="127" t="e">
        <f t="shared" si="16"/>
        <v>#N/A</v>
      </c>
      <c r="I215" s="206" t="e">
        <f t="shared" si="17"/>
        <v>#N/A</v>
      </c>
      <c r="J215" s="206"/>
      <c r="M215" s="22"/>
      <c r="N215" s="1">
        <f>ПТО!A39</f>
        <v>0</v>
      </c>
    </row>
    <row r="216" spans="1:14" ht="28.5" hidden="1" customHeight="1">
      <c r="A216" s="204">
        <f t="shared" si="19"/>
        <v>0</v>
      </c>
      <c r="B216" s="204"/>
      <c r="C216" s="204"/>
      <c r="D216" s="204"/>
      <c r="E216" s="204"/>
      <c r="F216" s="205">
        <f t="shared" si="15"/>
        <v>0</v>
      </c>
      <c r="G216" s="205"/>
      <c r="H216" s="127" t="e">
        <f t="shared" si="16"/>
        <v>#N/A</v>
      </c>
      <c r="I216" s="206" t="e">
        <f t="shared" si="17"/>
        <v>#N/A</v>
      </c>
      <c r="J216" s="206"/>
      <c r="M216" s="22"/>
      <c r="N216" s="1">
        <f>ПТО!A40</f>
        <v>0</v>
      </c>
    </row>
    <row r="217" spans="1:14" ht="28.5" hidden="1" customHeight="1">
      <c r="A217" s="204">
        <f t="shared" si="19"/>
        <v>0</v>
      </c>
      <c r="B217" s="204"/>
      <c r="C217" s="204"/>
      <c r="D217" s="204"/>
      <c r="E217" s="204"/>
      <c r="F217" s="205">
        <f t="shared" si="15"/>
        <v>0</v>
      </c>
      <c r="G217" s="205"/>
      <c r="H217" s="127" t="e">
        <f t="shared" si="16"/>
        <v>#N/A</v>
      </c>
      <c r="I217" s="206" t="e">
        <f t="shared" si="17"/>
        <v>#N/A</v>
      </c>
      <c r="J217" s="206"/>
      <c r="M217" s="22"/>
      <c r="N217" s="1">
        <f>ПТО!A41</f>
        <v>0</v>
      </c>
    </row>
    <row r="218" spans="1:14" ht="28.5" hidden="1" customHeight="1">
      <c r="A218" s="204">
        <f t="shared" si="19"/>
        <v>0</v>
      </c>
      <c r="B218" s="204"/>
      <c r="C218" s="204"/>
      <c r="D218" s="204"/>
      <c r="E218" s="204"/>
      <c r="F218" s="205">
        <f t="shared" si="15"/>
        <v>0</v>
      </c>
      <c r="G218" s="205"/>
      <c r="H218" s="127" t="e">
        <f t="shared" si="16"/>
        <v>#N/A</v>
      </c>
      <c r="I218" s="206" t="e">
        <f t="shared" si="17"/>
        <v>#N/A</v>
      </c>
      <c r="J218" s="206"/>
      <c r="M218" s="22"/>
      <c r="N218" s="1">
        <f>ПТО!A42</f>
        <v>0</v>
      </c>
    </row>
    <row r="219" spans="1:14" ht="28.5" hidden="1" customHeight="1">
      <c r="A219" s="204">
        <f t="shared" si="19"/>
        <v>0</v>
      </c>
      <c r="B219" s="204"/>
      <c r="C219" s="204"/>
      <c r="D219" s="204"/>
      <c r="E219" s="204"/>
      <c r="F219" s="205">
        <f t="shared" si="15"/>
        <v>0</v>
      </c>
      <c r="G219" s="205"/>
      <c r="H219" s="127" t="e">
        <f t="shared" si="16"/>
        <v>#N/A</v>
      </c>
      <c r="I219" s="206" t="e">
        <f t="shared" si="17"/>
        <v>#N/A</v>
      </c>
      <c r="J219" s="206"/>
      <c r="M219" s="22"/>
      <c r="N219" s="1">
        <f>ПТО!A43</f>
        <v>0</v>
      </c>
    </row>
    <row r="220" spans="1:14" ht="28.5" hidden="1" customHeight="1">
      <c r="A220" s="204">
        <f t="shared" si="19"/>
        <v>0</v>
      </c>
      <c r="B220" s="204"/>
      <c r="C220" s="204"/>
      <c r="D220" s="204"/>
      <c r="E220" s="204"/>
      <c r="F220" s="205">
        <f t="shared" si="15"/>
        <v>0</v>
      </c>
      <c r="G220" s="205"/>
      <c r="H220" s="127" t="e">
        <f t="shared" si="16"/>
        <v>#N/A</v>
      </c>
      <c r="I220" s="206" t="e">
        <f t="shared" si="17"/>
        <v>#N/A</v>
      </c>
      <c r="J220" s="206"/>
      <c r="M220" s="22"/>
      <c r="N220" s="1">
        <f>ПТО!A44</f>
        <v>0</v>
      </c>
    </row>
    <row r="221" spans="1:14" ht="28.5" hidden="1" customHeight="1">
      <c r="A221" s="204">
        <f t="shared" si="19"/>
        <v>0</v>
      </c>
      <c r="B221" s="204"/>
      <c r="C221" s="204"/>
      <c r="D221" s="204"/>
      <c r="E221" s="204"/>
      <c r="F221" s="205">
        <f t="shared" si="15"/>
        <v>0</v>
      </c>
      <c r="G221" s="205"/>
      <c r="H221" s="127" t="e">
        <f t="shared" si="16"/>
        <v>#N/A</v>
      </c>
      <c r="I221" s="206" t="e">
        <f t="shared" si="17"/>
        <v>#N/A</v>
      </c>
      <c r="J221" s="206"/>
      <c r="M221" s="22"/>
      <c r="N221" s="1">
        <f>ПТО!A45</f>
        <v>0</v>
      </c>
    </row>
    <row r="222" spans="1:14" ht="28.5" hidden="1" customHeight="1">
      <c r="A222" s="204">
        <f t="shared" si="19"/>
        <v>0</v>
      </c>
      <c r="B222" s="204"/>
      <c r="C222" s="204"/>
      <c r="D222" s="204"/>
      <c r="E222" s="204"/>
      <c r="F222" s="205">
        <f t="shared" si="15"/>
        <v>0</v>
      </c>
      <c r="G222" s="205"/>
      <c r="H222" s="127" t="e">
        <f t="shared" si="16"/>
        <v>#N/A</v>
      </c>
      <c r="I222" s="206" t="e">
        <f t="shared" si="17"/>
        <v>#N/A</v>
      </c>
      <c r="J222" s="206"/>
      <c r="M222" s="22"/>
      <c r="N222" s="1">
        <f>ПТО!A46</f>
        <v>0</v>
      </c>
    </row>
    <row r="223" spans="1:14" ht="28.5" hidden="1" customHeight="1">
      <c r="A223" s="204">
        <f t="shared" si="19"/>
        <v>0</v>
      </c>
      <c r="B223" s="204"/>
      <c r="C223" s="204"/>
      <c r="D223" s="204"/>
      <c r="E223" s="204"/>
      <c r="F223" s="205">
        <f t="shared" si="15"/>
        <v>0</v>
      </c>
      <c r="G223" s="205"/>
      <c r="H223" s="127" t="e">
        <f t="shared" si="16"/>
        <v>#N/A</v>
      </c>
      <c r="I223" s="206" t="e">
        <f t="shared" si="17"/>
        <v>#N/A</v>
      </c>
      <c r="J223" s="206"/>
      <c r="M223" s="22"/>
      <c r="N223" s="1">
        <f>ПТО!A47</f>
        <v>0</v>
      </c>
    </row>
    <row r="224" spans="1:14" ht="28.5" hidden="1" customHeight="1">
      <c r="A224" s="204">
        <f t="shared" si="19"/>
        <v>0</v>
      </c>
      <c r="B224" s="204"/>
      <c r="C224" s="204"/>
      <c r="D224" s="204"/>
      <c r="E224" s="204"/>
      <c r="F224" s="205">
        <f t="shared" si="15"/>
        <v>0</v>
      </c>
      <c r="G224" s="205"/>
      <c r="H224" s="127" t="e">
        <f t="shared" si="16"/>
        <v>#N/A</v>
      </c>
      <c r="I224" s="206" t="e">
        <f t="shared" si="17"/>
        <v>#N/A</v>
      </c>
      <c r="J224" s="206"/>
      <c r="M224" s="22"/>
      <c r="N224" s="1">
        <f>ПТО!A48</f>
        <v>0</v>
      </c>
    </row>
    <row r="225" spans="1:14" ht="28.5" hidden="1" customHeight="1">
      <c r="A225" s="204">
        <f t="shared" si="19"/>
        <v>0</v>
      </c>
      <c r="B225" s="204"/>
      <c r="C225" s="204"/>
      <c r="D225" s="204"/>
      <c r="E225" s="204"/>
      <c r="F225" s="205">
        <f t="shared" si="15"/>
        <v>0</v>
      </c>
      <c r="G225" s="205"/>
      <c r="H225" s="127" t="e">
        <f t="shared" si="16"/>
        <v>#N/A</v>
      </c>
      <c r="I225" s="206" t="e">
        <f t="shared" si="17"/>
        <v>#N/A</v>
      </c>
      <c r="J225" s="206"/>
      <c r="M225" s="22"/>
      <c r="N225" s="1">
        <f>ПТО!A49</f>
        <v>0</v>
      </c>
    </row>
    <row r="226" spans="1:14" ht="28.5" hidden="1" customHeight="1">
      <c r="A226" s="204">
        <f t="shared" si="19"/>
        <v>0</v>
      </c>
      <c r="B226" s="204"/>
      <c r="C226" s="204"/>
      <c r="D226" s="204"/>
      <c r="E226" s="204"/>
      <c r="F226" s="205">
        <f t="shared" si="15"/>
        <v>0</v>
      </c>
      <c r="G226" s="205"/>
      <c r="H226" s="127" t="e">
        <f t="shared" si="16"/>
        <v>#N/A</v>
      </c>
      <c r="I226" s="206" t="e">
        <f t="shared" si="17"/>
        <v>#N/A</v>
      </c>
      <c r="J226" s="206"/>
      <c r="M226" s="22"/>
      <c r="N226" s="1">
        <f>ПТО!A50</f>
        <v>0</v>
      </c>
    </row>
    <row r="227" spans="1:14" ht="29.25" hidden="1" customHeight="1">
      <c r="A227" s="204">
        <f t="shared" si="19"/>
        <v>0</v>
      </c>
      <c r="B227" s="204"/>
      <c r="C227" s="204"/>
      <c r="D227" s="204"/>
      <c r="E227" s="204"/>
      <c r="F227" s="205">
        <f t="shared" si="15"/>
        <v>0</v>
      </c>
      <c r="G227" s="205"/>
      <c r="H227" s="127" t="e">
        <f t="shared" si="16"/>
        <v>#N/A</v>
      </c>
      <c r="I227" s="206" t="e">
        <f t="shared" si="17"/>
        <v>#N/A</v>
      </c>
      <c r="J227" s="206"/>
      <c r="N227" s="1">
        <f>ПТО!A51</f>
        <v>0</v>
      </c>
    </row>
    <row r="228" spans="1:14" ht="29.25" customHeight="1">
      <c r="A228" s="101" t="s">
        <v>175</v>
      </c>
    </row>
    <row r="229" spans="1:14" ht="36.75" customHeight="1">
      <c r="A229" s="207" t="s">
        <v>190</v>
      </c>
      <c r="B229" s="207"/>
      <c r="C229" s="207"/>
      <c r="D229" s="207"/>
      <c r="E229" s="26">
        <f>SUM(F178:G227)</f>
        <v>193650.6</v>
      </c>
    </row>
    <row r="230" spans="1:14" ht="51.75" customHeight="1">
      <c r="A230" s="207" t="s">
        <v>189</v>
      </c>
      <c r="B230" s="207"/>
      <c r="C230" s="207"/>
      <c r="D230" s="207"/>
      <c r="E230" s="26">
        <f>E229+E174-E175</f>
        <v>-1059402.3640000001</v>
      </c>
    </row>
    <row r="231" spans="1:14">
      <c r="A231" s="101" t="s">
        <v>175</v>
      </c>
    </row>
    <row r="232" spans="1:14" ht="62.25" customHeight="1">
      <c r="A232" s="232" t="s">
        <v>188</v>
      </c>
      <c r="B232" s="232"/>
      <c r="C232" s="232"/>
      <c r="D232" s="232"/>
      <c r="E232" s="232"/>
      <c r="F232" s="232"/>
      <c r="G232" s="232"/>
      <c r="H232" s="232"/>
      <c r="I232" s="232"/>
      <c r="J232" s="232"/>
    </row>
    <row r="233" spans="1:14">
      <c r="A233" s="231" t="str">
        <f>ПТО!F12</f>
        <v xml:space="preserve">  -  поверка (замена) манометров и термометров</v>
      </c>
      <c r="B233" s="231"/>
      <c r="C233" s="231"/>
      <c r="D233" s="231"/>
      <c r="E233" s="231"/>
      <c r="F233" s="231"/>
      <c r="G233" s="231"/>
      <c r="H233" s="46">
        <f>ПТО!G12</f>
        <v>1200</v>
      </c>
      <c r="I233" s="47" t="s">
        <v>74</v>
      </c>
    </row>
    <row r="234" spans="1:14" ht="18.75" customHeight="1">
      <c r="A234" s="231" t="str">
        <f>ПТО!F13</f>
        <v xml:space="preserve">  -  техническое освидетельствование лифта</v>
      </c>
      <c r="B234" s="231"/>
      <c r="C234" s="231"/>
      <c r="D234" s="231"/>
      <c r="E234" s="231"/>
      <c r="F234" s="231"/>
      <c r="G234" s="231"/>
      <c r="H234" s="46">
        <f>ПТО!G13</f>
        <v>30000</v>
      </c>
      <c r="I234" s="47" t="s">
        <v>74</v>
      </c>
    </row>
    <row r="235" spans="1:14" ht="18.75" customHeight="1">
      <c r="A235" s="231" t="str">
        <f>ПТО!F14</f>
        <v xml:space="preserve">  -  техническое обслуживание системы видеонаблюдения</v>
      </c>
      <c r="B235" s="231"/>
      <c r="C235" s="231"/>
      <c r="D235" s="231"/>
      <c r="E235" s="231"/>
      <c r="F235" s="231"/>
      <c r="G235" s="231"/>
      <c r="H235" s="46">
        <f>ПТО!G14</f>
        <v>33600</v>
      </c>
      <c r="I235" s="47" t="s">
        <v>74</v>
      </c>
    </row>
    <row r="236" spans="1:14" ht="18.75" customHeight="1">
      <c r="A236" s="231" t="str">
        <f>ПТО!F15</f>
        <v xml:space="preserve">  -  вывоз снега с придомовой территории</v>
      </c>
      <c r="B236" s="231"/>
      <c r="C236" s="231"/>
      <c r="D236" s="231"/>
      <c r="E236" s="231"/>
      <c r="F236" s="231"/>
      <c r="G236" s="231"/>
      <c r="H236" s="46">
        <f>ПТО!G15</f>
        <v>25000</v>
      </c>
      <c r="I236" s="47" t="s">
        <v>74</v>
      </c>
    </row>
    <row r="237" spans="1:14" ht="18.75" customHeight="1">
      <c r="A237" s="231" t="str">
        <f>ПТО!F16</f>
        <v xml:space="preserve">  -  благоустройство территории (завоз песка, чернозема, приобретение рассады)</v>
      </c>
      <c r="B237" s="231"/>
      <c r="C237" s="231"/>
      <c r="D237" s="231"/>
      <c r="E237" s="231"/>
      <c r="F237" s="231"/>
      <c r="G237" s="231"/>
      <c r="H237" s="46">
        <f>ПТО!G16</f>
        <v>5000</v>
      </c>
      <c r="I237" s="49" t="s">
        <v>74</v>
      </c>
    </row>
    <row r="238" spans="1:14" ht="18.75" customHeight="1">
      <c r="A238" s="231" t="str">
        <f>ПТО!F17</f>
        <v xml:space="preserve">  -  генеральная уборка в подъездах</v>
      </c>
      <c r="B238" s="231"/>
      <c r="C238" s="231"/>
      <c r="D238" s="231"/>
      <c r="E238" s="231"/>
      <c r="F238" s="231"/>
      <c r="G238" s="231"/>
      <c r="H238" s="46">
        <f>ПТО!G17</f>
        <v>40000</v>
      </c>
      <c r="I238" s="47" t="s">
        <v>74</v>
      </c>
    </row>
    <row r="239" spans="1:14">
      <c r="A239" s="231" t="str">
        <f>ПТО!F18</f>
        <v xml:space="preserve">  -  ремонт в 2-х подъездах</v>
      </c>
      <c r="B239" s="231"/>
      <c r="C239" s="231"/>
      <c r="D239" s="231"/>
      <c r="E239" s="231"/>
      <c r="F239" s="231"/>
      <c r="G239" s="231"/>
      <c r="H239" s="46">
        <f>ПТО!G18</f>
        <v>800000</v>
      </c>
      <c r="I239" s="47" t="s">
        <v>74</v>
      </c>
    </row>
    <row r="240" spans="1:14" hidden="1">
      <c r="A240" s="231">
        <f>ПТО!F19</f>
        <v>0</v>
      </c>
      <c r="B240" s="231"/>
      <c r="C240" s="231"/>
      <c r="D240" s="231"/>
      <c r="E240" s="231"/>
      <c r="F240" s="231"/>
      <c r="G240" s="231"/>
      <c r="H240" s="46">
        <f>ПТО!G19</f>
        <v>0</v>
      </c>
      <c r="I240" s="47" t="s">
        <v>74</v>
      </c>
    </row>
    <row r="241" spans="1:9" hidden="1">
      <c r="A241" s="231">
        <f>ПТО!F20</f>
        <v>0</v>
      </c>
      <c r="B241" s="231"/>
      <c r="C241" s="231"/>
      <c r="D241" s="231"/>
      <c r="E241" s="231"/>
      <c r="F241" s="231"/>
      <c r="G241" s="231"/>
      <c r="H241" s="46">
        <f>ПТО!G20</f>
        <v>0</v>
      </c>
      <c r="I241" s="47" t="s">
        <v>74</v>
      </c>
    </row>
    <row r="242" spans="1:9" hidden="1">
      <c r="A242" s="231">
        <f>ПТО!F21</f>
        <v>0</v>
      </c>
      <c r="B242" s="231"/>
      <c r="C242" s="231"/>
      <c r="D242" s="231"/>
      <c r="E242" s="231"/>
      <c r="F242" s="231"/>
      <c r="G242" s="231"/>
      <c r="H242" s="46">
        <f>ПТО!G21</f>
        <v>0</v>
      </c>
      <c r="I242" s="47" t="s">
        <v>74</v>
      </c>
    </row>
    <row r="243" spans="1:9" hidden="1">
      <c r="A243" s="231">
        <f>ПТО!F22</f>
        <v>0</v>
      </c>
      <c r="B243" s="231"/>
      <c r="C243" s="231"/>
      <c r="D243" s="231"/>
      <c r="E243" s="231"/>
      <c r="F243" s="231"/>
      <c r="G243" s="231"/>
      <c r="H243" s="46">
        <f>ПТО!G22</f>
        <v>0</v>
      </c>
      <c r="I243" s="47" t="s">
        <v>74</v>
      </c>
    </row>
    <row r="244" spans="1:9" hidden="1">
      <c r="A244" s="231">
        <f>ПТО!F23</f>
        <v>0</v>
      </c>
      <c r="B244" s="231"/>
      <c r="C244" s="231"/>
      <c r="D244" s="231"/>
      <c r="E244" s="231"/>
      <c r="F244" s="231"/>
      <c r="G244" s="231"/>
      <c r="H244" s="46">
        <f>ПТО!G23</f>
        <v>0</v>
      </c>
      <c r="I244" s="47" t="s">
        <v>74</v>
      </c>
    </row>
    <row r="245" spans="1:9" hidden="1">
      <c r="A245" s="231">
        <f>ПТО!F24</f>
        <v>0</v>
      </c>
      <c r="B245" s="231"/>
      <c r="C245" s="231"/>
      <c r="D245" s="231"/>
      <c r="E245" s="231"/>
      <c r="F245" s="231"/>
      <c r="G245" s="231"/>
      <c r="H245" s="46">
        <f>ПТО!G24</f>
        <v>0</v>
      </c>
      <c r="I245" s="47" t="s">
        <v>74</v>
      </c>
    </row>
    <row r="246" spans="1:9" hidden="1">
      <c r="A246" s="231">
        <f>ПТО!F25</f>
        <v>0</v>
      </c>
      <c r="B246" s="231"/>
      <c r="C246" s="231"/>
      <c r="D246" s="231"/>
      <c r="E246" s="231"/>
      <c r="F246" s="231"/>
      <c r="G246" s="231"/>
      <c r="H246" s="46">
        <f>ПТО!G25</f>
        <v>0</v>
      </c>
      <c r="I246" s="47" t="s">
        <v>74</v>
      </c>
    </row>
    <row r="247" spans="1:9" hidden="1">
      <c r="A247" s="231">
        <f>ПТО!F26</f>
        <v>0</v>
      </c>
      <c r="B247" s="231"/>
      <c r="C247" s="231"/>
      <c r="D247" s="231"/>
      <c r="E247" s="231"/>
      <c r="F247" s="231"/>
      <c r="G247" s="231"/>
      <c r="H247" s="46">
        <f>ПТО!G26</f>
        <v>0</v>
      </c>
      <c r="I247" s="47" t="s">
        <v>74</v>
      </c>
    </row>
    <row r="248" spans="1:9" hidden="1">
      <c r="A248" s="231">
        <f>ПТО!F27</f>
        <v>0</v>
      </c>
      <c r="B248" s="231"/>
      <c r="C248" s="231"/>
      <c r="D248" s="231"/>
      <c r="E248" s="231"/>
      <c r="F248" s="231"/>
      <c r="G248" s="231"/>
      <c r="H248" s="46">
        <f>ПТО!G27</f>
        <v>0</v>
      </c>
      <c r="I248" s="47" t="s">
        <v>74</v>
      </c>
    </row>
    <row r="249" spans="1:9" hidden="1">
      <c r="A249" s="231">
        <f>ПТО!F28</f>
        <v>0</v>
      </c>
      <c r="B249" s="231"/>
      <c r="C249" s="231"/>
      <c r="D249" s="231"/>
      <c r="E249" s="231"/>
      <c r="F249" s="231"/>
      <c r="G249" s="231"/>
      <c r="H249" s="46">
        <f>ПТО!G28</f>
        <v>0</v>
      </c>
      <c r="I249" s="47" t="s">
        <v>74</v>
      </c>
    </row>
    <row r="250" spans="1:9" hidden="1">
      <c r="A250" s="231">
        <f>ПТО!F29</f>
        <v>0</v>
      </c>
      <c r="B250" s="231"/>
      <c r="C250" s="231"/>
      <c r="D250" s="231"/>
      <c r="E250" s="231"/>
      <c r="F250" s="231"/>
      <c r="G250" s="231"/>
      <c r="H250" s="46">
        <f>ПТО!G29</f>
        <v>0</v>
      </c>
      <c r="I250" s="47" t="s">
        <v>74</v>
      </c>
    </row>
    <row r="251" spans="1:9" hidden="1">
      <c r="A251" s="231">
        <f>ПТО!F30</f>
        <v>0</v>
      </c>
      <c r="B251" s="231"/>
      <c r="C251" s="231"/>
      <c r="D251" s="231"/>
      <c r="E251" s="231"/>
      <c r="F251" s="231"/>
      <c r="G251" s="231"/>
      <c r="H251" s="46">
        <f>ПТО!G30</f>
        <v>0</v>
      </c>
      <c r="I251" s="47" t="s">
        <v>74</v>
      </c>
    </row>
    <row r="252" spans="1:9" hidden="1">
      <c r="A252" s="231">
        <f>ПТО!F31</f>
        <v>0</v>
      </c>
      <c r="B252" s="231"/>
      <c r="C252" s="231"/>
      <c r="D252" s="231"/>
      <c r="E252" s="231"/>
      <c r="F252" s="231"/>
      <c r="G252" s="231"/>
      <c r="H252" s="46">
        <f>ПТО!G31</f>
        <v>0</v>
      </c>
      <c r="I252" s="47" t="s">
        <v>74</v>
      </c>
    </row>
    <row r="253" spans="1:9">
      <c r="A253" s="50" t="s">
        <v>77</v>
      </c>
      <c r="B253" s="51"/>
      <c r="C253" s="51"/>
      <c r="D253" s="51"/>
      <c r="E253" s="51"/>
      <c r="F253" s="51"/>
      <c r="G253" s="51"/>
      <c r="H253" s="52">
        <f>SUM(H233:H252)</f>
        <v>934800</v>
      </c>
      <c r="I253" s="53" t="s">
        <v>78</v>
      </c>
    </row>
  </sheetData>
  <sheetProtection algorithmName="SHA-512" hashValue="e3jkPY4NGC7vqPlgvw5lj7gmxGHt74WEBELlJOIvvscKnVJzMloiNbiRhX/SgKZC7KSVp45ehmnHrDEWhc2j/w==" saltValue="hoIu1blODRYLtwKGU3QuJw==" spinCount="100000" sheet="1" objects="1" scenarios="1" formatColumns="0" formatRows="0" insertColumns="0" insertRows="0"/>
  <mergeCells count="480">
    <mergeCell ref="A244:G244"/>
    <mergeCell ref="A245:G245"/>
    <mergeCell ref="A246:G246"/>
    <mergeCell ref="A247:G247"/>
    <mergeCell ref="A248:G248"/>
    <mergeCell ref="A249:G249"/>
    <mergeCell ref="A250:G250"/>
    <mergeCell ref="A251:G251"/>
    <mergeCell ref="A252:G252"/>
    <mergeCell ref="A158:I158"/>
    <mergeCell ref="A159:I159"/>
    <mergeCell ref="A160:I160"/>
    <mergeCell ref="A161:I161"/>
    <mergeCell ref="A239:G239"/>
    <mergeCell ref="A240:G240"/>
    <mergeCell ref="A241:G241"/>
    <mergeCell ref="A242:G242"/>
    <mergeCell ref="A243:G243"/>
    <mergeCell ref="A232:J232"/>
    <mergeCell ref="A233:G233"/>
    <mergeCell ref="A234:G234"/>
    <mergeCell ref="A235:G235"/>
    <mergeCell ref="A236:G236"/>
    <mergeCell ref="A237:G237"/>
    <mergeCell ref="A238:G238"/>
    <mergeCell ref="A203:E203"/>
    <mergeCell ref="A204:E204"/>
    <mergeCell ref="A205:E205"/>
    <mergeCell ref="A206:E206"/>
    <mergeCell ref="A207:E207"/>
    <mergeCell ref="I203:J203"/>
    <mergeCell ref="I204:J204"/>
    <mergeCell ref="I205:J205"/>
    <mergeCell ref="A151:I151"/>
    <mergeCell ref="A152:I152"/>
    <mergeCell ref="A153:I153"/>
    <mergeCell ref="A154:C154"/>
    <mergeCell ref="D154:E154"/>
    <mergeCell ref="G154:J154"/>
    <mergeCell ref="A155:I155"/>
    <mergeCell ref="A156:I156"/>
    <mergeCell ref="A157:I157"/>
    <mergeCell ref="A138:C138"/>
    <mergeCell ref="D138:E138"/>
    <mergeCell ref="G138:J138"/>
    <mergeCell ref="A139:I139"/>
    <mergeCell ref="A140:I140"/>
    <mergeCell ref="A141:I141"/>
    <mergeCell ref="A142:I142"/>
    <mergeCell ref="A143:I143"/>
    <mergeCell ref="A144:I144"/>
    <mergeCell ref="A145:I145"/>
    <mergeCell ref="A146:C146"/>
    <mergeCell ref="D146:E146"/>
    <mergeCell ref="G146:J146"/>
    <mergeCell ref="A147:I147"/>
    <mergeCell ref="A148:I148"/>
    <mergeCell ref="A149:I149"/>
    <mergeCell ref="A150:I150"/>
    <mergeCell ref="A202:E202"/>
    <mergeCell ref="I202:J202"/>
    <mergeCell ref="A200:E200"/>
    <mergeCell ref="A201:E201"/>
    <mergeCell ref="I184:J184"/>
    <mergeCell ref="I185:J185"/>
    <mergeCell ref="I186:J186"/>
    <mergeCell ref="I187:J187"/>
    <mergeCell ref="I188:J188"/>
    <mergeCell ref="I189:J189"/>
    <mergeCell ref="I190:J190"/>
    <mergeCell ref="I191:J191"/>
    <mergeCell ref="I192:J192"/>
    <mergeCell ref="I193:J193"/>
    <mergeCell ref="I194:J194"/>
    <mergeCell ref="I195:J195"/>
    <mergeCell ref="I206:J206"/>
    <mergeCell ref="I207:J207"/>
    <mergeCell ref="F202:G202"/>
    <mergeCell ref="F203:G203"/>
    <mergeCell ref="F204:G204"/>
    <mergeCell ref="F205:G205"/>
    <mergeCell ref="F206:G206"/>
    <mergeCell ref="F207:G207"/>
    <mergeCell ref="A184:E184"/>
    <mergeCell ref="A185:E185"/>
    <mergeCell ref="A186:E186"/>
    <mergeCell ref="A187:E187"/>
    <mergeCell ref="A188:E188"/>
    <mergeCell ref="A189:E189"/>
    <mergeCell ref="A190:E190"/>
    <mergeCell ref="A191:E191"/>
    <mergeCell ref="A192:E192"/>
    <mergeCell ref="A193:E193"/>
    <mergeCell ref="A194:E194"/>
    <mergeCell ref="A195:E195"/>
    <mergeCell ref="A196:E196"/>
    <mergeCell ref="A197:E197"/>
    <mergeCell ref="A198:E198"/>
    <mergeCell ref="A199:E199"/>
    <mergeCell ref="I196:J196"/>
    <mergeCell ref="I197:J197"/>
    <mergeCell ref="I198:J198"/>
    <mergeCell ref="I199:J199"/>
    <mergeCell ref="I200:J200"/>
    <mergeCell ref="I201:J201"/>
    <mergeCell ref="F193:G193"/>
    <mergeCell ref="F194:G194"/>
    <mergeCell ref="F195:G195"/>
    <mergeCell ref="F196:G196"/>
    <mergeCell ref="F197:G197"/>
    <mergeCell ref="F198:G198"/>
    <mergeCell ref="F199:G199"/>
    <mergeCell ref="F200:G200"/>
    <mergeCell ref="F201:G201"/>
    <mergeCell ref="F184:G184"/>
    <mergeCell ref="F185:G185"/>
    <mergeCell ref="F186:G186"/>
    <mergeCell ref="F187:G187"/>
    <mergeCell ref="F188:G188"/>
    <mergeCell ref="F189:G189"/>
    <mergeCell ref="F190:G190"/>
    <mergeCell ref="F191:G191"/>
    <mergeCell ref="F192:G192"/>
    <mergeCell ref="L101:L110"/>
    <mergeCell ref="L114:L13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103:I103"/>
    <mergeCell ref="A104:I104"/>
    <mergeCell ref="A105:I105"/>
    <mergeCell ref="A106:I106"/>
    <mergeCell ref="A107:I107"/>
    <mergeCell ref="A108:I108"/>
    <mergeCell ref="A109:I10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95:I9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25:I125"/>
    <mergeCell ref="I72:J72"/>
    <mergeCell ref="I31:J31"/>
    <mergeCell ref="I32:J32"/>
    <mergeCell ref="A126:I126"/>
    <mergeCell ref="A135:I135"/>
    <mergeCell ref="A136:I136"/>
    <mergeCell ref="A137:I137"/>
    <mergeCell ref="A128:I128"/>
    <mergeCell ref="A129:I129"/>
    <mergeCell ref="A131:I131"/>
    <mergeCell ref="A132:I132"/>
    <mergeCell ref="A133:I133"/>
    <mergeCell ref="A134:I134"/>
    <mergeCell ref="D130:E130"/>
    <mergeCell ref="G130:J130"/>
    <mergeCell ref="A110:I110"/>
    <mergeCell ref="A101:I101"/>
    <mergeCell ref="A102:I102"/>
    <mergeCell ref="A98:I98"/>
    <mergeCell ref="A96:I96"/>
    <mergeCell ref="A97:I97"/>
    <mergeCell ref="A38:E38"/>
    <mergeCell ref="F38:G38"/>
    <mergeCell ref="L95:L98"/>
    <mergeCell ref="A164:I164"/>
    <mergeCell ref="A165:I165"/>
    <mergeCell ref="A166:I166"/>
    <mergeCell ref="A113:C113"/>
    <mergeCell ref="G113:J113"/>
    <mergeCell ref="G114:J114"/>
    <mergeCell ref="D113:E113"/>
    <mergeCell ref="D114:E114"/>
    <mergeCell ref="A114:C114"/>
    <mergeCell ref="A122:C122"/>
    <mergeCell ref="D122:E122"/>
    <mergeCell ref="G122:J122"/>
    <mergeCell ref="A130:C130"/>
    <mergeCell ref="A127:I127"/>
    <mergeCell ref="A115:I115"/>
    <mergeCell ref="A116:I116"/>
    <mergeCell ref="A117:I117"/>
    <mergeCell ref="A118:I118"/>
    <mergeCell ref="A119:I119"/>
    <mergeCell ref="A120:I120"/>
    <mergeCell ref="A121:I121"/>
    <mergeCell ref="A123:I123"/>
    <mergeCell ref="A124:I124"/>
    <mergeCell ref="A169:J169"/>
    <mergeCell ref="A175:D175"/>
    <mergeCell ref="A174:D174"/>
    <mergeCell ref="A177:E177"/>
    <mergeCell ref="F177:G177"/>
    <mergeCell ref="I177:J177"/>
    <mergeCell ref="A178:E178"/>
    <mergeCell ref="F178:G178"/>
    <mergeCell ref="I178:J178"/>
    <mergeCell ref="A179:E179"/>
    <mergeCell ref="F179:G179"/>
    <mergeCell ref="I179:J179"/>
    <mergeCell ref="A180:E180"/>
    <mergeCell ref="F180:G180"/>
    <mergeCell ref="I180:J180"/>
    <mergeCell ref="A181:E181"/>
    <mergeCell ref="F181:G181"/>
    <mergeCell ref="I181:J181"/>
    <mergeCell ref="A182:E182"/>
    <mergeCell ref="F182:G182"/>
    <mergeCell ref="I182:J182"/>
    <mergeCell ref="A183:E183"/>
    <mergeCell ref="F183:G183"/>
    <mergeCell ref="I183:J183"/>
    <mergeCell ref="A229:D229"/>
    <mergeCell ref="A230:D230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208:E208"/>
    <mergeCell ref="F208:G208"/>
    <mergeCell ref="I208:J208"/>
    <mergeCell ref="A209:E209"/>
    <mergeCell ref="F209:G209"/>
    <mergeCell ref="I209:J209"/>
    <mergeCell ref="A210:E210"/>
    <mergeCell ref="F210:G210"/>
    <mergeCell ref="I210:J210"/>
    <mergeCell ref="A211:E211"/>
    <mergeCell ref="F211:G211"/>
    <mergeCell ref="I211:J211"/>
    <mergeCell ref="A212:E212"/>
    <mergeCell ref="F212:G212"/>
    <mergeCell ref="I212:J212"/>
    <mergeCell ref="A213:E213"/>
    <mergeCell ref="F213:G213"/>
    <mergeCell ref="I213:J213"/>
    <mergeCell ref="A214:E214"/>
    <mergeCell ref="F214:G214"/>
    <mergeCell ref="I214:J214"/>
    <mergeCell ref="A215:E215"/>
    <mergeCell ref="F215:G215"/>
    <mergeCell ref="I215:J215"/>
    <mergeCell ref="A216:E216"/>
    <mergeCell ref="F216:G216"/>
    <mergeCell ref="I216:J216"/>
    <mergeCell ref="A217:E217"/>
    <mergeCell ref="F217:G217"/>
    <mergeCell ref="I217:J217"/>
    <mergeCell ref="A218:E218"/>
    <mergeCell ref="F218:G218"/>
    <mergeCell ref="I218:J218"/>
    <mergeCell ref="A219:E219"/>
    <mergeCell ref="F219:G219"/>
    <mergeCell ref="I219:J219"/>
    <mergeCell ref="A220:E220"/>
    <mergeCell ref="F220:G220"/>
    <mergeCell ref="I220:J220"/>
    <mergeCell ref="A221:E221"/>
    <mergeCell ref="F221:G221"/>
    <mergeCell ref="I221:J221"/>
    <mergeCell ref="A222:E222"/>
    <mergeCell ref="F222:G222"/>
    <mergeCell ref="I222:J222"/>
    <mergeCell ref="A223:E223"/>
    <mergeCell ref="F223:G223"/>
    <mergeCell ref="I223:J223"/>
    <mergeCell ref="A224:E224"/>
    <mergeCell ref="F224:G224"/>
    <mergeCell ref="I224:J224"/>
    <mergeCell ref="A225:E225"/>
    <mergeCell ref="F225:G225"/>
    <mergeCell ref="I225:J225"/>
    <mergeCell ref="A226:E226"/>
    <mergeCell ref="F226:G226"/>
    <mergeCell ref="I226:J226"/>
    <mergeCell ref="A227:E227"/>
    <mergeCell ref="F227:G227"/>
    <mergeCell ref="I227:J227"/>
    <mergeCell ref="A73:E73"/>
    <mergeCell ref="F73:G73"/>
    <mergeCell ref="I73:J73"/>
    <mergeCell ref="A74:E74"/>
    <mergeCell ref="F74:G74"/>
    <mergeCell ref="I74:J74"/>
    <mergeCell ref="A75:E75"/>
    <mergeCell ref="F75:G75"/>
    <mergeCell ref="I75:J75"/>
    <mergeCell ref="A76:E76"/>
    <mergeCell ref="F76:G76"/>
    <mergeCell ref="I76:J76"/>
    <mergeCell ref="A77:E77"/>
    <mergeCell ref="F77:G77"/>
    <mergeCell ref="I77:J77"/>
    <mergeCell ref="A78:E78"/>
    <mergeCell ref="F78:G78"/>
    <mergeCell ref="I78:J78"/>
    <mergeCell ref="A79:E79"/>
    <mergeCell ref="F79:G79"/>
    <mergeCell ref="I79:J79"/>
    <mergeCell ref="A80:E80"/>
    <mergeCell ref="F80:G80"/>
    <mergeCell ref="I80:J80"/>
    <mergeCell ref="A81:E81"/>
    <mergeCell ref="F81:G81"/>
    <mergeCell ref="I81:J81"/>
    <mergeCell ref="A82:E82"/>
    <mergeCell ref="F82:G82"/>
    <mergeCell ref="I82:J82"/>
    <mergeCell ref="A83:E83"/>
    <mergeCell ref="F83:G83"/>
    <mergeCell ref="I83:J83"/>
    <mergeCell ref="A84:E84"/>
    <mergeCell ref="F84:G84"/>
    <mergeCell ref="I84:J84"/>
    <mergeCell ref="A85:E85"/>
    <mergeCell ref="F85:G85"/>
    <mergeCell ref="I85:J85"/>
    <mergeCell ref="A86:E86"/>
    <mergeCell ref="F86:G86"/>
    <mergeCell ref="I86:J86"/>
    <mergeCell ref="A87:E87"/>
    <mergeCell ref="F87:G87"/>
    <mergeCell ref="I87:J87"/>
    <mergeCell ref="A91:E91"/>
    <mergeCell ref="F91:G91"/>
    <mergeCell ref="I91:J91"/>
    <mergeCell ref="A92:E92"/>
    <mergeCell ref="F92:G92"/>
    <mergeCell ref="I92:J92"/>
    <mergeCell ref="A88:E88"/>
    <mergeCell ref="F88:G88"/>
    <mergeCell ref="I88:J88"/>
    <mergeCell ref="A89:E89"/>
    <mergeCell ref="F89:G89"/>
    <mergeCell ref="I89:J89"/>
    <mergeCell ref="A90:E90"/>
    <mergeCell ref="F90:G90"/>
    <mergeCell ref="I90:J90"/>
  </mergeCells>
  <pageMargins left="0.51181102362204722" right="0.51181102362204722" top="0.55118110236220474" bottom="0.55118110236220474" header="0.31496062992125984" footer="0.31496062992125984"/>
  <pageSetup paperSize="9" scale="83" fitToHeight="15" orientation="portrait" r:id="rId1"/>
  <rowBreaks count="1" manualBreakCount="1">
    <brk id="16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91"/>
  <sheetViews>
    <sheetView topLeftCell="A47" workbookViewId="0">
      <selection activeCell="F60" sqref="F60"/>
    </sheetView>
  </sheetViews>
  <sheetFormatPr defaultRowHeight="15"/>
  <cols>
    <col min="1" max="1" width="53.5703125" style="29" bestFit="1" customWidth="1"/>
    <col min="2" max="2" width="12.28515625" style="29" customWidth="1"/>
    <col min="3" max="3" width="13" style="29" customWidth="1"/>
    <col min="4" max="4" width="12.42578125" style="29" bestFit="1" customWidth="1"/>
    <col min="5" max="5" width="17.7109375" style="29" customWidth="1"/>
    <col min="6" max="6" width="40.5703125" style="29" customWidth="1"/>
    <col min="7" max="7" width="26" style="29" customWidth="1"/>
    <col min="8" max="11" width="9.140625" style="29"/>
    <col min="14" max="14" width="10" bestFit="1" customWidth="1"/>
  </cols>
  <sheetData>
    <row r="1" spans="1:12" ht="110.25" customHeight="1" thickBot="1">
      <c r="A1" s="33" t="s">
        <v>19</v>
      </c>
      <c r="B1" s="33" t="s">
        <v>57</v>
      </c>
      <c r="C1" s="33" t="s">
        <v>21</v>
      </c>
      <c r="D1" s="33" t="s">
        <v>20</v>
      </c>
      <c r="E1" s="32"/>
      <c r="F1" s="97" t="s">
        <v>192</v>
      </c>
      <c r="G1" s="98">
        <f>-700503.58</f>
        <v>-700503.58</v>
      </c>
    </row>
    <row r="2" spans="1:12" ht="18.75" customHeight="1">
      <c r="A2" s="121" t="s">
        <v>179</v>
      </c>
      <c r="B2" s="118" t="s">
        <v>177</v>
      </c>
      <c r="C2" s="187">
        <v>4</v>
      </c>
      <c r="D2" s="116">
        <v>30000</v>
      </c>
      <c r="E2" s="124" t="s">
        <v>214</v>
      </c>
      <c r="F2" s="30"/>
      <c r="G2" s="30"/>
      <c r="L2" s="31" t="str">
        <f t="shared" ref="L2:L22" si="0">IF(A2&gt;0,"ТР",0)</f>
        <v>ТР</v>
      </c>
    </row>
    <row r="3" spans="1:12" ht="18.75" customHeight="1">
      <c r="A3" s="122" t="s">
        <v>180</v>
      </c>
      <c r="B3" s="118" t="s">
        <v>181</v>
      </c>
      <c r="C3" s="188">
        <v>12</v>
      </c>
      <c r="D3" s="189">
        <f>2800*12</f>
        <v>33600</v>
      </c>
      <c r="E3" s="124" t="s">
        <v>215</v>
      </c>
      <c r="F3" s="28"/>
      <c r="G3" s="28"/>
      <c r="L3" s="31" t="str">
        <f t="shared" si="0"/>
        <v>ТР</v>
      </c>
    </row>
    <row r="4" spans="1:12" ht="31.5" customHeight="1">
      <c r="A4" s="172" t="s">
        <v>194</v>
      </c>
      <c r="B4" s="141" t="s">
        <v>193</v>
      </c>
      <c r="C4" s="155">
        <v>1</v>
      </c>
      <c r="D4" s="156">
        <v>785</v>
      </c>
      <c r="E4" s="173" t="s">
        <v>196</v>
      </c>
      <c r="F4" s="28"/>
      <c r="G4" s="28"/>
      <c r="L4" s="31" t="str">
        <f t="shared" si="0"/>
        <v>ТР</v>
      </c>
    </row>
    <row r="5" spans="1:12" ht="27" customHeight="1">
      <c r="A5" s="122" t="s">
        <v>199</v>
      </c>
      <c r="B5" s="174" t="s">
        <v>193</v>
      </c>
      <c r="C5" s="120">
        <v>1</v>
      </c>
      <c r="D5" s="117">
        <v>9000</v>
      </c>
      <c r="E5" s="124" t="s">
        <v>200</v>
      </c>
      <c r="F5" s="42"/>
      <c r="G5" s="42"/>
      <c r="K5" s="44"/>
      <c r="L5" s="31" t="str">
        <f t="shared" si="0"/>
        <v>ТР</v>
      </c>
    </row>
    <row r="6" spans="1:12" ht="30.75" customHeight="1">
      <c r="A6" s="122" t="s">
        <v>195</v>
      </c>
      <c r="B6" s="174" t="s">
        <v>193</v>
      </c>
      <c r="C6" s="120">
        <v>1</v>
      </c>
      <c r="D6" s="117">
        <v>3600</v>
      </c>
      <c r="E6" s="124" t="s">
        <v>206</v>
      </c>
      <c r="F6" s="42"/>
      <c r="G6" s="42"/>
      <c r="K6" s="44"/>
      <c r="L6" s="31" t="str">
        <f t="shared" si="0"/>
        <v>ТР</v>
      </c>
    </row>
    <row r="7" spans="1:12" ht="17.25" customHeight="1">
      <c r="A7" s="122" t="s">
        <v>197</v>
      </c>
      <c r="B7" s="175" t="s">
        <v>193</v>
      </c>
      <c r="C7" s="120">
        <v>1</v>
      </c>
      <c r="D7" s="117">
        <v>15089</v>
      </c>
      <c r="E7" s="124" t="s">
        <v>207</v>
      </c>
      <c r="F7" s="43"/>
      <c r="G7" s="43"/>
      <c r="K7" s="44"/>
      <c r="L7" s="31" t="str">
        <f t="shared" si="0"/>
        <v>ТР</v>
      </c>
    </row>
    <row r="8" spans="1:12" ht="28.5" customHeight="1">
      <c r="A8" s="176" t="s">
        <v>198</v>
      </c>
      <c r="B8" s="141" t="s">
        <v>193</v>
      </c>
      <c r="C8" s="155">
        <v>1</v>
      </c>
      <c r="D8" s="156">
        <v>2000</v>
      </c>
      <c r="E8" s="124" t="s">
        <v>208</v>
      </c>
      <c r="F8" s="43"/>
      <c r="G8" s="43"/>
      <c r="K8" s="41"/>
      <c r="L8" s="31" t="str">
        <f t="shared" si="0"/>
        <v>ТР</v>
      </c>
    </row>
    <row r="9" spans="1:12">
      <c r="A9" s="177" t="s">
        <v>201</v>
      </c>
      <c r="B9" s="178" t="s">
        <v>193</v>
      </c>
      <c r="C9" s="118">
        <v>1</v>
      </c>
      <c r="D9" s="116">
        <v>7000</v>
      </c>
      <c r="E9" s="179" t="s">
        <v>209</v>
      </c>
      <c r="F9" s="42"/>
      <c r="G9" s="42"/>
      <c r="K9" s="41"/>
      <c r="L9" s="31" t="str">
        <f t="shared" si="0"/>
        <v>ТР</v>
      </c>
    </row>
    <row r="10" spans="1:12">
      <c r="A10" s="180" t="s">
        <v>202</v>
      </c>
      <c r="B10" s="181" t="s">
        <v>193</v>
      </c>
      <c r="C10" s="118">
        <v>1</v>
      </c>
      <c r="D10" s="116">
        <v>843</v>
      </c>
      <c r="E10" s="182" t="s">
        <v>210</v>
      </c>
      <c r="L10" s="31" t="str">
        <f t="shared" si="0"/>
        <v>ТР</v>
      </c>
    </row>
    <row r="11" spans="1:12" ht="94.5">
      <c r="A11" s="122" t="s">
        <v>203</v>
      </c>
      <c r="B11" s="183" t="s">
        <v>193</v>
      </c>
      <c r="C11" s="120">
        <v>1</v>
      </c>
      <c r="D11" s="117">
        <v>3600</v>
      </c>
      <c r="E11" s="182" t="s">
        <v>211</v>
      </c>
      <c r="F11" s="108" t="s">
        <v>188</v>
      </c>
      <c r="G11" s="108"/>
      <c r="L11" s="31" t="str">
        <f t="shared" si="0"/>
        <v>ТР</v>
      </c>
    </row>
    <row r="12" spans="1:12" ht="31.5">
      <c r="A12" s="184" t="s">
        <v>204</v>
      </c>
      <c r="B12" s="185" t="s">
        <v>193</v>
      </c>
      <c r="C12" s="118">
        <v>1</v>
      </c>
      <c r="D12" s="116">
        <v>1000</v>
      </c>
      <c r="E12" s="182" t="s">
        <v>212</v>
      </c>
      <c r="F12" s="109" t="s">
        <v>73</v>
      </c>
      <c r="G12" s="110">
        <v>1200</v>
      </c>
      <c r="L12" s="31" t="str">
        <f t="shared" si="0"/>
        <v>ТР</v>
      </c>
    </row>
    <row r="13" spans="1:12" ht="31.5">
      <c r="A13" s="122" t="s">
        <v>205</v>
      </c>
      <c r="B13" s="119" t="s">
        <v>193</v>
      </c>
      <c r="C13" s="119">
        <v>1</v>
      </c>
      <c r="D13" s="117">
        <v>14831.6</v>
      </c>
      <c r="E13" s="186" t="s">
        <v>213</v>
      </c>
      <c r="F13" s="109" t="s">
        <v>75</v>
      </c>
      <c r="G13" s="110">
        <v>30000</v>
      </c>
      <c r="L13" s="31" t="str">
        <f t="shared" si="0"/>
        <v>ТР</v>
      </c>
    </row>
    <row r="14" spans="1:12" ht="31.5">
      <c r="A14" s="190" t="s">
        <v>218</v>
      </c>
      <c r="B14" s="191" t="s">
        <v>193</v>
      </c>
      <c r="C14" s="192">
        <v>1</v>
      </c>
      <c r="D14" s="193">
        <v>37500</v>
      </c>
      <c r="E14" s="194" t="s">
        <v>217</v>
      </c>
      <c r="F14" s="109" t="s">
        <v>76</v>
      </c>
      <c r="G14" s="111">
        <v>33600</v>
      </c>
      <c r="L14" s="31" t="str">
        <f t="shared" si="0"/>
        <v>ТР</v>
      </c>
    </row>
    <row r="15" spans="1:12" ht="15.75">
      <c r="A15" s="190" t="s">
        <v>224</v>
      </c>
      <c r="B15" s="195" t="s">
        <v>193</v>
      </c>
      <c r="C15" s="192">
        <v>1</v>
      </c>
      <c r="D15" s="193">
        <v>5000</v>
      </c>
      <c r="E15" s="194" t="s">
        <v>220</v>
      </c>
      <c r="F15" s="148" t="s">
        <v>183</v>
      </c>
      <c r="G15" s="111">
        <v>25000</v>
      </c>
      <c r="L15" s="31" t="str">
        <f t="shared" si="0"/>
        <v>ТР</v>
      </c>
    </row>
    <row r="16" spans="1:12" ht="45">
      <c r="A16" s="196" t="s">
        <v>216</v>
      </c>
      <c r="B16" s="197" t="s">
        <v>193</v>
      </c>
      <c r="C16" s="118">
        <v>1</v>
      </c>
      <c r="D16" s="116">
        <v>5100</v>
      </c>
      <c r="E16" s="198" t="s">
        <v>221</v>
      </c>
      <c r="F16" s="149" t="s">
        <v>184</v>
      </c>
      <c r="G16" s="150">
        <v>5000</v>
      </c>
      <c r="L16" s="31" t="str">
        <f t="shared" si="0"/>
        <v>ТР</v>
      </c>
    </row>
    <row r="17" spans="1:12" ht="15.75">
      <c r="A17" s="202" t="s">
        <v>225</v>
      </c>
      <c r="B17" s="199" t="s">
        <v>193</v>
      </c>
      <c r="C17" s="118">
        <v>1</v>
      </c>
      <c r="D17" s="116">
        <v>20050</v>
      </c>
      <c r="E17" s="198" t="s">
        <v>222</v>
      </c>
      <c r="F17" s="148" t="s">
        <v>185</v>
      </c>
      <c r="G17" s="111">
        <v>40000</v>
      </c>
      <c r="L17" s="31" t="str">
        <f t="shared" si="0"/>
        <v>ТР</v>
      </c>
    </row>
    <row r="18" spans="1:12" ht="15.75">
      <c r="A18" s="200" t="s">
        <v>219</v>
      </c>
      <c r="B18" s="119" t="s">
        <v>193</v>
      </c>
      <c r="C18" s="119">
        <v>1</v>
      </c>
      <c r="D18" s="201">
        <v>4652</v>
      </c>
      <c r="E18" s="124" t="s">
        <v>223</v>
      </c>
      <c r="F18" s="148" t="s">
        <v>187</v>
      </c>
      <c r="G18" s="111">
        <v>800000</v>
      </c>
      <c r="L18" s="31" t="str">
        <f t="shared" si="0"/>
        <v>ТР</v>
      </c>
    </row>
    <row r="19" spans="1:12" ht="15.75">
      <c r="A19" s="122"/>
      <c r="B19" s="119"/>
      <c r="C19" s="119"/>
      <c r="D19" s="117"/>
      <c r="E19" s="124"/>
      <c r="F19" s="149"/>
      <c r="G19" s="150"/>
      <c r="L19" s="31">
        <f t="shared" si="0"/>
        <v>0</v>
      </c>
    </row>
    <row r="20" spans="1:12" ht="15.75">
      <c r="A20" s="122"/>
      <c r="B20" s="157"/>
      <c r="C20" s="120"/>
      <c r="D20" s="117"/>
      <c r="E20" s="124"/>
      <c r="F20" s="148"/>
      <c r="G20" s="111"/>
      <c r="L20" s="31">
        <f t="shared" si="0"/>
        <v>0</v>
      </c>
    </row>
    <row r="21" spans="1:12" ht="15.75">
      <c r="A21" s="122"/>
      <c r="B21" s="157"/>
      <c r="C21" s="120"/>
      <c r="D21" s="117"/>
      <c r="E21" s="124"/>
      <c r="F21" s="148"/>
      <c r="G21" s="111"/>
      <c r="L21" s="31">
        <f t="shared" si="0"/>
        <v>0</v>
      </c>
    </row>
    <row r="22" spans="1:12" ht="15.75">
      <c r="A22" s="122"/>
      <c r="B22" s="119"/>
      <c r="C22" s="119"/>
      <c r="D22" s="117"/>
      <c r="E22" s="124"/>
      <c r="F22" s="152"/>
      <c r="G22" s="151"/>
      <c r="L22" s="31">
        <f t="shared" si="0"/>
        <v>0</v>
      </c>
    </row>
    <row r="23" spans="1:12">
      <c r="A23" s="159"/>
      <c r="B23" s="158"/>
      <c r="C23" s="118"/>
      <c r="D23" s="116"/>
      <c r="E23" s="124"/>
      <c r="F23" s="100"/>
      <c r="L23" s="31">
        <f t="shared" ref="L23:L51" si="1">IF(A23&gt;0,"ТР",0)</f>
        <v>0</v>
      </c>
    </row>
    <row r="24" spans="1:12">
      <c r="A24" s="122"/>
      <c r="B24" s="119"/>
      <c r="C24" s="119"/>
      <c r="D24" s="117"/>
      <c r="E24" s="125"/>
      <c r="F24" s="139"/>
      <c r="L24" s="31">
        <f t="shared" si="1"/>
        <v>0</v>
      </c>
    </row>
    <row r="25" spans="1:12">
      <c r="A25" s="160"/>
      <c r="B25" s="161"/>
      <c r="C25" s="162"/>
      <c r="D25" s="163"/>
      <c r="E25" s="164"/>
      <c r="F25" s="100"/>
      <c r="L25" s="31">
        <f t="shared" si="1"/>
        <v>0</v>
      </c>
    </row>
    <row r="26" spans="1:12">
      <c r="A26" s="165"/>
      <c r="B26" s="161"/>
      <c r="C26" s="166"/>
      <c r="D26" s="163"/>
      <c r="E26" s="164"/>
      <c r="F26" s="100"/>
      <c r="L26" s="31">
        <f t="shared" si="1"/>
        <v>0</v>
      </c>
    </row>
    <row r="27" spans="1:12">
      <c r="A27" s="153"/>
      <c r="B27" s="138"/>
      <c r="C27" s="118"/>
      <c r="D27" s="116"/>
      <c r="E27" s="125"/>
      <c r="F27" s="100"/>
      <c r="L27" s="31">
        <f t="shared" si="1"/>
        <v>0</v>
      </c>
    </row>
    <row r="28" spans="1:12">
      <c r="A28" s="121"/>
      <c r="B28" s="141"/>
      <c r="C28" s="118"/>
      <c r="D28" s="116"/>
      <c r="E28" s="125"/>
      <c r="F28" s="100"/>
      <c r="L28" s="31">
        <f t="shared" si="1"/>
        <v>0</v>
      </c>
    </row>
    <row r="29" spans="1:12">
      <c r="A29" s="153"/>
      <c r="B29" s="138"/>
      <c r="C29" s="118"/>
      <c r="D29" s="116"/>
      <c r="E29" s="125"/>
      <c r="F29" s="100"/>
      <c r="L29" s="31">
        <f t="shared" si="1"/>
        <v>0</v>
      </c>
    </row>
    <row r="30" spans="1:12">
      <c r="A30" s="140"/>
      <c r="B30" s="119"/>
      <c r="C30" s="141"/>
      <c r="D30" s="142"/>
      <c r="E30" s="123"/>
      <c r="F30" s="100"/>
      <c r="L30" s="31">
        <f t="shared" si="1"/>
        <v>0</v>
      </c>
    </row>
    <row r="31" spans="1:12">
      <c r="A31" s="126"/>
      <c r="B31" s="141"/>
      <c r="C31" s="141"/>
      <c r="D31" s="123"/>
      <c r="E31" s="123"/>
      <c r="L31" s="31">
        <f t="shared" si="1"/>
        <v>0</v>
      </c>
    </row>
    <row r="32" spans="1:12" ht="36.75" customHeight="1">
      <c r="A32" s="143"/>
      <c r="B32" s="144"/>
      <c r="C32" s="144"/>
      <c r="D32" s="145"/>
      <c r="E32" s="123"/>
      <c r="H32" s="96"/>
      <c r="I32" s="96"/>
      <c r="L32" s="129">
        <f t="shared" si="1"/>
        <v>0</v>
      </c>
    </row>
    <row r="33" spans="1:12" s="135" customFormat="1" ht="18.75">
      <c r="A33" s="143"/>
      <c r="B33" s="144"/>
      <c r="C33" s="144"/>
      <c r="D33" s="145"/>
      <c r="E33" s="123"/>
      <c r="F33" s="133"/>
      <c r="G33" s="133"/>
      <c r="H33" s="134"/>
      <c r="I33" s="134"/>
      <c r="J33" s="133"/>
      <c r="K33" s="133"/>
      <c r="L33" s="129">
        <f t="shared" si="1"/>
        <v>0</v>
      </c>
    </row>
    <row r="34" spans="1:12" s="135" customFormat="1" ht="18.75">
      <c r="A34" s="154"/>
      <c r="B34" s="144"/>
      <c r="C34" s="144"/>
      <c r="D34" s="147"/>
      <c r="E34" s="123"/>
      <c r="F34" s="133"/>
      <c r="G34" s="133"/>
      <c r="H34" s="134"/>
      <c r="I34" s="134"/>
      <c r="J34" s="133"/>
      <c r="K34" s="133"/>
      <c r="L34" s="129">
        <f t="shared" si="1"/>
        <v>0</v>
      </c>
    </row>
    <row r="35" spans="1:12" s="135" customFormat="1" ht="18.75">
      <c r="A35" s="146"/>
      <c r="B35" s="144"/>
      <c r="C35" s="144"/>
      <c r="D35" s="147"/>
      <c r="E35" s="123"/>
      <c r="F35" s="123"/>
      <c r="G35" s="133"/>
      <c r="H35" s="134"/>
      <c r="I35" s="134"/>
      <c r="J35" s="133"/>
      <c r="K35" s="133"/>
      <c r="L35" s="129">
        <f t="shared" si="1"/>
        <v>0</v>
      </c>
    </row>
    <row r="36" spans="1:12" s="135" customFormat="1" ht="18.75">
      <c r="A36" s="136"/>
      <c r="B36" s="131"/>
      <c r="C36" s="131"/>
      <c r="D36" s="137"/>
      <c r="E36" s="133"/>
      <c r="F36" s="133"/>
      <c r="G36" s="133"/>
      <c r="H36" s="134"/>
      <c r="I36" s="134"/>
      <c r="J36" s="133"/>
      <c r="K36" s="133"/>
      <c r="L36" s="129">
        <f t="shared" si="1"/>
        <v>0</v>
      </c>
    </row>
    <row r="37" spans="1:12" s="135" customFormat="1" ht="18.75">
      <c r="A37" s="130"/>
      <c r="B37" s="131"/>
      <c r="C37" s="131"/>
      <c r="D37" s="132"/>
      <c r="E37" s="133"/>
      <c r="F37" s="133"/>
      <c r="G37" s="133"/>
      <c r="H37" s="134"/>
      <c r="I37" s="134"/>
      <c r="J37" s="133"/>
      <c r="K37" s="133"/>
      <c r="L37" s="129">
        <f t="shared" si="1"/>
        <v>0</v>
      </c>
    </row>
    <row r="38" spans="1:12" s="135" customFormat="1" ht="18.75">
      <c r="A38" s="130"/>
      <c r="B38" s="131"/>
      <c r="C38" s="131"/>
      <c r="D38" s="132"/>
      <c r="E38" s="133"/>
      <c r="F38" s="133"/>
      <c r="G38" s="133"/>
      <c r="H38" s="134"/>
      <c r="I38" s="134"/>
      <c r="J38" s="133"/>
      <c r="K38" s="133"/>
      <c r="L38" s="129">
        <f t="shared" si="1"/>
        <v>0</v>
      </c>
    </row>
    <row r="39" spans="1:12" s="135" customFormat="1" ht="18.75">
      <c r="A39" s="130"/>
      <c r="B39" s="131"/>
      <c r="C39" s="131"/>
      <c r="D39" s="132"/>
      <c r="E39" s="133"/>
      <c r="F39" s="133"/>
      <c r="G39" s="133"/>
      <c r="H39" s="134"/>
      <c r="I39" s="134"/>
      <c r="J39" s="133"/>
      <c r="K39" s="133"/>
      <c r="L39" s="129">
        <f t="shared" si="1"/>
        <v>0</v>
      </c>
    </row>
    <row r="40" spans="1:12" s="135" customFormat="1" ht="18.75">
      <c r="A40" s="130"/>
      <c r="B40" s="131"/>
      <c r="C40" s="131"/>
      <c r="D40" s="132"/>
      <c r="E40" s="133"/>
      <c r="F40" s="133"/>
      <c r="G40" s="133"/>
      <c r="H40" s="134"/>
      <c r="I40" s="134"/>
      <c r="J40" s="133"/>
      <c r="K40" s="133"/>
      <c r="L40" s="129">
        <f t="shared" si="1"/>
        <v>0</v>
      </c>
    </row>
    <row r="41" spans="1:12" s="135" customFormat="1" ht="18.75">
      <c r="A41" s="130"/>
      <c r="B41" s="131"/>
      <c r="C41" s="131"/>
      <c r="D41" s="132"/>
      <c r="E41" s="133"/>
      <c r="F41" s="133"/>
      <c r="G41" s="133"/>
      <c r="H41" s="134"/>
      <c r="I41" s="134"/>
      <c r="J41" s="133"/>
      <c r="K41" s="133"/>
      <c r="L41" s="129">
        <f t="shared" si="1"/>
        <v>0</v>
      </c>
    </row>
    <row r="42" spans="1:12" s="135" customFormat="1" ht="18.75">
      <c r="A42" s="130"/>
      <c r="B42" s="131"/>
      <c r="C42" s="131"/>
      <c r="D42" s="132"/>
      <c r="E42" s="133"/>
      <c r="F42" s="133"/>
      <c r="G42" s="133"/>
      <c r="H42" s="134"/>
      <c r="I42" s="134"/>
      <c r="J42" s="133"/>
      <c r="K42" s="133"/>
      <c r="L42" s="129">
        <f t="shared" si="1"/>
        <v>0</v>
      </c>
    </row>
    <row r="43" spans="1:12" s="135" customFormat="1" ht="18.75">
      <c r="A43" s="130"/>
      <c r="B43" s="131"/>
      <c r="C43" s="131"/>
      <c r="D43" s="132"/>
      <c r="E43" s="133"/>
      <c r="F43" s="133"/>
      <c r="G43" s="133"/>
      <c r="H43" s="134"/>
      <c r="I43" s="134"/>
      <c r="J43" s="133"/>
      <c r="K43" s="133"/>
      <c r="L43" s="129">
        <f t="shared" si="1"/>
        <v>0</v>
      </c>
    </row>
    <row r="44" spans="1:12" s="135" customFormat="1" ht="18.75">
      <c r="A44" s="130"/>
      <c r="B44" s="131"/>
      <c r="C44" s="131"/>
      <c r="D44" s="132"/>
      <c r="E44" s="133"/>
      <c r="F44" s="133"/>
      <c r="G44" s="133"/>
      <c r="H44" s="134"/>
      <c r="I44" s="134"/>
      <c r="J44" s="133"/>
      <c r="K44" s="133"/>
      <c r="L44" s="129">
        <f t="shared" si="1"/>
        <v>0</v>
      </c>
    </row>
    <row r="45" spans="1:12" s="135" customFormat="1" ht="18.75">
      <c r="A45" s="130"/>
      <c r="B45" s="131"/>
      <c r="C45" s="131"/>
      <c r="D45" s="132"/>
      <c r="E45" s="133"/>
      <c r="F45" s="133"/>
      <c r="G45" s="133"/>
      <c r="H45" s="134"/>
      <c r="I45" s="134"/>
      <c r="J45" s="133"/>
      <c r="K45" s="133"/>
      <c r="L45" s="129">
        <f t="shared" si="1"/>
        <v>0</v>
      </c>
    </row>
    <row r="46" spans="1:12" s="135" customFormat="1" ht="18.75">
      <c r="A46" s="130"/>
      <c r="B46" s="131"/>
      <c r="C46" s="131"/>
      <c r="D46" s="132"/>
      <c r="E46" s="133"/>
      <c r="F46" s="133"/>
      <c r="G46" s="133"/>
      <c r="H46" s="134"/>
      <c r="I46" s="134"/>
      <c r="J46" s="133"/>
      <c r="K46" s="133"/>
      <c r="L46" s="129">
        <f t="shared" si="1"/>
        <v>0</v>
      </c>
    </row>
    <row r="47" spans="1:12" s="135" customFormat="1" ht="18.75">
      <c r="A47" s="130"/>
      <c r="B47" s="131"/>
      <c r="C47" s="131"/>
      <c r="D47" s="132"/>
      <c r="E47" s="133"/>
      <c r="F47" s="133"/>
      <c r="G47" s="133"/>
      <c r="H47" s="134"/>
      <c r="I47" s="134"/>
      <c r="J47" s="133"/>
      <c r="K47" s="133"/>
      <c r="L47" s="129">
        <f t="shared" si="1"/>
        <v>0</v>
      </c>
    </row>
    <row r="48" spans="1:12" ht="18.75">
      <c r="A48" s="130"/>
      <c r="B48" s="131"/>
      <c r="C48" s="131"/>
      <c r="D48" s="132"/>
      <c r="E48" s="133"/>
      <c r="H48" s="96"/>
      <c r="I48" s="96"/>
      <c r="L48" s="129">
        <f t="shared" si="1"/>
        <v>0</v>
      </c>
    </row>
    <row r="49" spans="1:16" ht="18.75">
      <c r="A49" s="130"/>
      <c r="B49" s="131"/>
      <c r="C49" s="131"/>
      <c r="D49" s="132"/>
      <c r="E49" s="133"/>
      <c r="H49" s="96"/>
      <c r="I49" s="96"/>
      <c r="L49" s="129">
        <f t="shared" si="1"/>
        <v>0</v>
      </c>
    </row>
    <row r="50" spans="1:16" ht="18.75">
      <c r="A50" s="130"/>
      <c r="B50" s="131"/>
      <c r="C50" s="131"/>
      <c r="D50" s="132"/>
      <c r="E50" s="133"/>
      <c r="H50" s="96"/>
      <c r="I50" s="96"/>
      <c r="L50" s="129">
        <f t="shared" si="1"/>
        <v>0</v>
      </c>
    </row>
    <row r="51" spans="1:16" ht="18.75">
      <c r="A51" s="130"/>
      <c r="B51" s="131"/>
      <c r="C51" s="131"/>
      <c r="D51" s="132"/>
      <c r="E51" s="133"/>
      <c r="H51" s="96"/>
      <c r="I51" s="96"/>
      <c r="L51" s="129">
        <f t="shared" si="1"/>
        <v>0</v>
      </c>
    </row>
    <row r="52" spans="1:16" ht="18.75">
      <c r="A52" s="130"/>
      <c r="B52" s="131"/>
      <c r="C52" s="131"/>
      <c r="D52" s="132"/>
      <c r="E52" s="133"/>
      <c r="H52" s="96"/>
      <c r="I52" s="96"/>
      <c r="L52" s="129"/>
    </row>
    <row r="59" spans="1:16" ht="31.5" customHeight="1">
      <c r="A59" s="35" t="s">
        <v>22</v>
      </c>
      <c r="B59" s="115">
        <v>502423.55999999994</v>
      </c>
      <c r="C59" s="36" t="s">
        <v>68</v>
      </c>
      <c r="D59" s="37">
        <v>12</v>
      </c>
      <c r="E59" s="32"/>
      <c r="J59" s="34"/>
      <c r="L59" s="38" t="str">
        <f>IF(A59&gt;0,"СОД",0)</f>
        <v>СОД</v>
      </c>
      <c r="M59" t="str">
        <f>A59</f>
        <v>Работы, выполняемые для надлежащего содержания внутридомовых инженерных систем и конструктивных элементов дома</v>
      </c>
      <c r="N59" s="39">
        <f>B59</f>
        <v>502423.55999999994</v>
      </c>
      <c r="O59" s="39" t="str">
        <f>C59</f>
        <v>Ежемесячно</v>
      </c>
      <c r="P59">
        <f>D59</f>
        <v>12</v>
      </c>
    </row>
    <row r="60" spans="1:16" ht="31.5" customHeight="1">
      <c r="A60" s="35" t="s">
        <v>176</v>
      </c>
      <c r="B60" s="115">
        <v>315909</v>
      </c>
      <c r="C60" s="36" t="s">
        <v>68</v>
      </c>
      <c r="D60" s="37">
        <v>12</v>
      </c>
      <c r="E60" s="32"/>
      <c r="J60" s="34"/>
      <c r="L60" s="38" t="str">
        <f t="shared" ref="L60:L73" si="2">IF(A60&gt;0,"СОД",0)</f>
        <v>СОД</v>
      </c>
      <c r="M60" t="str">
        <f t="shared" ref="M60:M73" si="3">A60</f>
        <v>Работы по содержанию лифта (лифтов)</v>
      </c>
      <c r="N60" s="39">
        <f t="shared" ref="N60:N73" si="4">B60</f>
        <v>315909</v>
      </c>
      <c r="O60" s="39" t="str">
        <f t="shared" ref="O60:O73" si="5">C60</f>
        <v>Ежемесячно</v>
      </c>
      <c r="P60">
        <f t="shared" ref="P60:P73" si="6">D60</f>
        <v>12</v>
      </c>
    </row>
    <row r="61" spans="1:16" ht="51">
      <c r="A61" s="35" t="s">
        <v>26</v>
      </c>
      <c r="B61" s="115">
        <v>132891.59999999998</v>
      </c>
      <c r="C61" s="36" t="s">
        <v>69</v>
      </c>
      <c r="D61" s="37">
        <v>12</v>
      </c>
      <c r="E61" s="32"/>
      <c r="J61" s="34"/>
      <c r="L61" s="38" t="str">
        <f t="shared" si="2"/>
        <v>СОД</v>
      </c>
      <c r="M6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61" s="39">
        <f t="shared" si="4"/>
        <v>132891.59999999998</v>
      </c>
      <c r="O61" s="39" t="str">
        <f t="shared" si="5"/>
        <v>В соответствии с графиком</v>
      </c>
      <c r="P61">
        <f t="shared" si="6"/>
        <v>12</v>
      </c>
    </row>
    <row r="62" spans="1:16" ht="25.5">
      <c r="A62" s="35" t="s">
        <v>23</v>
      </c>
      <c r="B62" s="115">
        <v>137554.44</v>
      </c>
      <c r="C62" s="36" t="s">
        <v>68</v>
      </c>
      <c r="D62" s="37">
        <v>12</v>
      </c>
      <c r="E62" s="32"/>
      <c r="J62" s="34"/>
      <c r="L62" s="38" t="str">
        <f t="shared" si="2"/>
        <v>СОД</v>
      </c>
      <c r="M62" t="str">
        <f t="shared" si="3"/>
        <v>Работы, выполняемые для надлежащего содержания электрооборудования дома</v>
      </c>
      <c r="N62" s="39">
        <f t="shared" si="4"/>
        <v>137554.44</v>
      </c>
      <c r="O62" s="39" t="str">
        <f t="shared" si="5"/>
        <v>Ежемесячно</v>
      </c>
      <c r="P62">
        <f t="shared" si="6"/>
        <v>12</v>
      </c>
    </row>
    <row r="63" spans="1:16" ht="15.75">
      <c r="A63" s="35"/>
      <c r="B63" s="36"/>
      <c r="C63" s="36"/>
      <c r="D63" s="37"/>
      <c r="E63" s="32"/>
      <c r="J63" s="34"/>
      <c r="L63" s="38">
        <f t="shared" si="2"/>
        <v>0</v>
      </c>
      <c r="M63">
        <f t="shared" si="3"/>
        <v>0</v>
      </c>
      <c r="N63" s="39">
        <f t="shared" si="4"/>
        <v>0</v>
      </c>
      <c r="O63" s="39">
        <f t="shared" si="5"/>
        <v>0</v>
      </c>
      <c r="P63">
        <f t="shared" si="6"/>
        <v>0</v>
      </c>
    </row>
    <row r="64" spans="1:16" ht="25.5">
      <c r="A64" s="35" t="s">
        <v>24</v>
      </c>
      <c r="B64" s="115">
        <v>36137.159999999996</v>
      </c>
      <c r="C64" s="36" t="s">
        <v>70</v>
      </c>
      <c r="D64" s="37">
        <v>12</v>
      </c>
      <c r="E64" s="32"/>
      <c r="J64" s="34"/>
      <c r="L64" s="38" t="str">
        <f t="shared" si="2"/>
        <v>СОД</v>
      </c>
      <c r="M64" t="str">
        <f t="shared" si="3"/>
        <v>Обеспечение устранения аварий на внутридомовых инженерных системах в многоквартирном доме</v>
      </c>
      <c r="N64" s="39">
        <f t="shared" si="4"/>
        <v>36137.159999999996</v>
      </c>
      <c r="O64" s="39" t="str">
        <f t="shared" si="5"/>
        <v>Круглосуточно</v>
      </c>
      <c r="P64">
        <f t="shared" si="6"/>
        <v>12</v>
      </c>
    </row>
    <row r="65" spans="1:16" ht="25.5">
      <c r="A65" s="35" t="s">
        <v>25</v>
      </c>
      <c r="B65" s="115">
        <v>156205.91999999998</v>
      </c>
      <c r="C65" s="36" t="s">
        <v>69</v>
      </c>
      <c r="D65" s="37">
        <v>12</v>
      </c>
      <c r="E65" s="32"/>
      <c r="J65" s="34"/>
      <c r="L65" s="38" t="str">
        <f t="shared" si="2"/>
        <v>СОД</v>
      </c>
      <c r="M65" t="str">
        <f t="shared" si="3"/>
        <v>Работы по содержанию помещений, входящих в состав общего имущества в многоквартирном доме</v>
      </c>
      <c r="N65" s="39">
        <f t="shared" si="4"/>
        <v>156205.91999999998</v>
      </c>
      <c r="O65" s="39" t="str">
        <f t="shared" si="5"/>
        <v>В соответствии с графиком</v>
      </c>
      <c r="P65">
        <f t="shared" si="6"/>
        <v>12</v>
      </c>
    </row>
    <row r="66" spans="1:16" ht="15.75">
      <c r="A66" s="35"/>
      <c r="B66" s="115"/>
      <c r="C66" s="36"/>
      <c r="D66" s="37"/>
      <c r="E66" s="170"/>
      <c r="F66" s="170"/>
      <c r="L66" s="38">
        <f t="shared" si="2"/>
        <v>0</v>
      </c>
      <c r="M66">
        <f t="shared" si="3"/>
        <v>0</v>
      </c>
      <c r="N66" s="39">
        <f t="shared" si="4"/>
        <v>0</v>
      </c>
      <c r="O66" s="39">
        <f t="shared" si="5"/>
        <v>0</v>
      </c>
      <c r="P66">
        <f t="shared" si="6"/>
        <v>0</v>
      </c>
    </row>
    <row r="67" spans="1:16">
      <c r="A67" s="35"/>
      <c r="B67" s="167"/>
      <c r="C67" s="168"/>
      <c r="D67" s="169"/>
      <c r="E67" s="171">
        <v>2369.6999999999998</v>
      </c>
      <c r="F67" s="171">
        <v>1859.1</v>
      </c>
      <c r="L67" s="38">
        <f t="shared" si="2"/>
        <v>0</v>
      </c>
      <c r="M67">
        <f t="shared" si="3"/>
        <v>0</v>
      </c>
      <c r="N67" s="39">
        <f t="shared" si="4"/>
        <v>0</v>
      </c>
      <c r="O67" s="39">
        <f t="shared" si="5"/>
        <v>0</v>
      </c>
      <c r="P67">
        <f t="shared" si="6"/>
        <v>0</v>
      </c>
    </row>
    <row r="68" spans="1:16">
      <c r="L68" s="38">
        <f t="shared" si="2"/>
        <v>0</v>
      </c>
      <c r="M68">
        <f t="shared" si="3"/>
        <v>0</v>
      </c>
      <c r="N68" s="39">
        <f t="shared" si="4"/>
        <v>0</v>
      </c>
      <c r="O68" s="39">
        <f t="shared" si="5"/>
        <v>0</v>
      </c>
      <c r="P68">
        <f t="shared" si="6"/>
        <v>0</v>
      </c>
    </row>
    <row r="69" spans="1:16">
      <c r="L69" s="38">
        <f t="shared" si="2"/>
        <v>0</v>
      </c>
      <c r="M69">
        <f t="shared" si="3"/>
        <v>0</v>
      </c>
      <c r="N69" s="39">
        <f t="shared" si="4"/>
        <v>0</v>
      </c>
      <c r="O69" s="39">
        <f t="shared" si="5"/>
        <v>0</v>
      </c>
      <c r="P69">
        <f t="shared" si="6"/>
        <v>0</v>
      </c>
    </row>
    <row r="70" spans="1:16">
      <c r="L70" s="38">
        <f t="shared" si="2"/>
        <v>0</v>
      </c>
      <c r="M70">
        <f t="shared" si="3"/>
        <v>0</v>
      </c>
      <c r="N70" s="39">
        <f t="shared" si="4"/>
        <v>0</v>
      </c>
      <c r="O70" s="39">
        <f t="shared" si="5"/>
        <v>0</v>
      </c>
      <c r="P70">
        <f t="shared" si="6"/>
        <v>0</v>
      </c>
    </row>
    <row r="71" spans="1:16">
      <c r="L71" s="38">
        <f t="shared" si="2"/>
        <v>0</v>
      </c>
      <c r="M71">
        <f t="shared" si="3"/>
        <v>0</v>
      </c>
      <c r="N71" s="39">
        <f t="shared" si="4"/>
        <v>0</v>
      </c>
      <c r="O71" s="39">
        <f t="shared" si="5"/>
        <v>0</v>
      </c>
      <c r="P71">
        <f t="shared" si="6"/>
        <v>0</v>
      </c>
    </row>
    <row r="72" spans="1:16">
      <c r="L72" s="38">
        <f t="shared" si="2"/>
        <v>0</v>
      </c>
      <c r="M72">
        <f t="shared" si="3"/>
        <v>0</v>
      </c>
      <c r="N72" s="39">
        <f t="shared" si="4"/>
        <v>0</v>
      </c>
      <c r="O72" s="39">
        <f t="shared" si="5"/>
        <v>0</v>
      </c>
      <c r="P72">
        <f t="shared" si="6"/>
        <v>0</v>
      </c>
    </row>
    <row r="73" spans="1:16">
      <c r="L73" s="38">
        <f t="shared" si="2"/>
        <v>0</v>
      </c>
      <c r="M73">
        <f t="shared" si="3"/>
        <v>0</v>
      </c>
      <c r="N73" s="39">
        <f t="shared" si="4"/>
        <v>0</v>
      </c>
      <c r="O73" s="39">
        <f t="shared" si="5"/>
        <v>0</v>
      </c>
      <c r="P73">
        <f t="shared" si="6"/>
        <v>0</v>
      </c>
    </row>
    <row r="85" spans="4:13" ht="18.75" customHeight="1">
      <c r="D85" s="96"/>
      <c r="E85" s="96"/>
      <c r="F85" s="96"/>
      <c r="G85" s="96"/>
      <c r="H85" s="96"/>
      <c r="I85" s="96"/>
      <c r="J85" s="96"/>
      <c r="K85" s="96"/>
      <c r="L85" s="96"/>
      <c r="M85" s="96"/>
    </row>
    <row r="86" spans="4:13" ht="18.75" customHeight="1">
      <c r="D86" s="99"/>
      <c r="E86" s="46"/>
      <c r="F86" s="47"/>
      <c r="G86" s="99"/>
      <c r="H86" s="99"/>
      <c r="I86" s="99"/>
      <c r="J86" s="99"/>
      <c r="M86" s="1"/>
    </row>
    <row r="87" spans="4:13" ht="18.75" customHeight="1">
      <c r="D87" s="99"/>
      <c r="E87" s="46"/>
      <c r="F87" s="47"/>
      <c r="G87" s="99"/>
      <c r="H87" s="99"/>
      <c r="I87" s="99"/>
      <c r="J87" s="99"/>
      <c r="M87" s="1"/>
    </row>
    <row r="88" spans="4:13" ht="18.75" customHeight="1">
      <c r="D88" s="99"/>
      <c r="E88" s="46"/>
      <c r="F88" s="47"/>
      <c r="G88" s="99"/>
      <c r="H88" s="99"/>
      <c r="I88" s="99"/>
      <c r="J88" s="99"/>
      <c r="M88" s="1"/>
    </row>
    <row r="89" spans="4:13" ht="18.75" customHeight="1">
      <c r="D89" s="99"/>
      <c r="E89" s="46"/>
      <c r="F89" s="47"/>
      <c r="G89" s="99"/>
      <c r="H89" s="99"/>
      <c r="I89" s="99"/>
      <c r="J89" s="99"/>
      <c r="M89" s="1"/>
    </row>
    <row r="90" spans="4:13" ht="18.75" customHeight="1">
      <c r="D90" s="99"/>
      <c r="E90" s="48"/>
      <c r="F90" s="49"/>
      <c r="G90" s="99"/>
      <c r="H90" s="99"/>
      <c r="I90" s="99"/>
      <c r="J90" s="99"/>
      <c r="M90" s="1"/>
    </row>
    <row r="91" spans="4:13" ht="18.75" customHeight="1">
      <c r="D91" s="99"/>
      <c r="E91" s="46"/>
      <c r="F91" s="47"/>
      <c r="G91" s="99"/>
      <c r="H91" s="99"/>
      <c r="I91" s="99"/>
      <c r="J91" s="99"/>
      <c r="M91" s="1"/>
    </row>
  </sheetData>
  <sheetProtection algorithmName="SHA-512" hashValue="RL414uS8u5ISxmbY9Y+sQfKN6ym/JiHLDARpR8Zc0JjJhMrrpd49QOpJ0izqFuirYtapmSGGrcyCYkiKrvdDnQ==" saltValue="3/en4fbckaytimKXh7vOlw==" spinCount="100000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6" sqref="C6"/>
    </sheetView>
  </sheetViews>
  <sheetFormatPr defaultRowHeight="15"/>
  <cols>
    <col min="1" max="1" width="11.5703125" style="57" hidden="1" customWidth="1"/>
    <col min="2" max="2" width="94.7109375" style="57" bestFit="1" customWidth="1"/>
    <col min="3" max="3" width="25.85546875" style="57" customWidth="1"/>
    <col min="4" max="4" width="69.5703125" style="57" bestFit="1" customWidth="1"/>
    <col min="5" max="5" width="20.7109375" style="57" bestFit="1" customWidth="1"/>
    <col min="6" max="6" width="61.140625" style="57" customWidth="1"/>
    <col min="7" max="8" width="9.140625" style="57"/>
    <col min="9" max="9" width="10.140625" style="57" bestFit="1" customWidth="1"/>
    <col min="10" max="10" width="9.140625" style="57"/>
    <col min="11" max="11" width="11.28515625" style="57" bestFit="1" customWidth="1"/>
    <col min="12" max="12" width="69.5703125" style="57" bestFit="1" customWidth="1"/>
    <col min="13" max="16384" width="9.140625" style="57"/>
  </cols>
  <sheetData>
    <row r="1" spans="1:10" ht="15.75">
      <c r="A1" s="67"/>
      <c r="B1" s="68" t="s">
        <v>33</v>
      </c>
      <c r="E1" s="57" t="s">
        <v>178</v>
      </c>
      <c r="F1" s="57">
        <v>9714.2999999999993</v>
      </c>
    </row>
    <row r="2" spans="1:10" ht="15.75" customHeight="1">
      <c r="A2" s="67" t="s">
        <v>83</v>
      </c>
      <c r="B2" s="69" t="s">
        <v>2</v>
      </c>
      <c r="C2" s="80">
        <v>0</v>
      </c>
      <c r="D2" s="78" t="s">
        <v>58</v>
      </c>
      <c r="E2" s="58"/>
      <c r="F2" s="58"/>
      <c r="G2" s="58"/>
      <c r="H2" s="58"/>
      <c r="I2" s="58"/>
      <c r="J2" s="58"/>
    </row>
    <row r="3" spans="1:10" ht="15.75" customHeight="1">
      <c r="A3" s="67" t="s">
        <v>84</v>
      </c>
      <c r="B3" s="69" t="s">
        <v>3</v>
      </c>
      <c r="C3" s="76">
        <v>0</v>
      </c>
      <c r="D3" s="77" t="s">
        <v>59</v>
      </c>
      <c r="E3" s="58"/>
      <c r="F3" s="58"/>
      <c r="G3" s="58"/>
      <c r="H3" s="58"/>
      <c r="I3" s="58"/>
      <c r="J3" s="58"/>
    </row>
    <row r="4" spans="1:10" ht="15.75" customHeight="1">
      <c r="A4" s="67" t="s">
        <v>85</v>
      </c>
      <c r="B4" s="69" t="s">
        <v>4</v>
      </c>
      <c r="C4" s="80">
        <v>321995.76400000043</v>
      </c>
      <c r="D4" s="78" t="s">
        <v>60</v>
      </c>
      <c r="E4" s="58"/>
      <c r="F4" s="58"/>
      <c r="G4" s="58"/>
      <c r="H4" s="58"/>
      <c r="I4" s="58"/>
      <c r="J4" s="58"/>
    </row>
    <row r="5" spans="1:10" ht="15.75" customHeight="1">
      <c r="A5" s="67" t="s">
        <v>86</v>
      </c>
      <c r="B5" s="69" t="s">
        <v>5</v>
      </c>
      <c r="C5" s="76">
        <f>SUM(C6:C8)</f>
        <v>2282471.9279999998</v>
      </c>
      <c r="D5" s="77" t="s">
        <v>59</v>
      </c>
      <c r="E5" s="58"/>
      <c r="F5" s="58"/>
      <c r="G5" s="58"/>
      <c r="H5" s="58"/>
      <c r="I5" s="58"/>
      <c r="J5" s="58"/>
    </row>
    <row r="6" spans="1:10" ht="15.75" customHeight="1">
      <c r="A6" s="67" t="s">
        <v>87</v>
      </c>
      <c r="B6" s="69" t="s">
        <v>6</v>
      </c>
      <c r="C6" s="80">
        <f>10.99*12*F1</f>
        <v>1281121.8839999998</v>
      </c>
      <c r="D6" s="78" t="s">
        <v>61</v>
      </c>
      <c r="E6" s="58"/>
      <c r="F6" s="58"/>
      <c r="G6" s="58"/>
      <c r="H6" s="58"/>
      <c r="I6" s="58"/>
      <c r="J6" s="58"/>
    </row>
    <row r="7" spans="1:10" ht="15.75" customHeight="1">
      <c r="A7" s="67" t="s">
        <v>88</v>
      </c>
      <c r="B7" s="69" t="s">
        <v>7</v>
      </c>
      <c r="C7" s="80">
        <f>F1*4.74*12</f>
        <v>552549.38399999996</v>
      </c>
      <c r="D7" s="78" t="s">
        <v>62</v>
      </c>
      <c r="E7" s="58"/>
      <c r="F7" s="58"/>
      <c r="G7" s="58"/>
      <c r="H7" s="58"/>
      <c r="I7" s="58"/>
      <c r="J7" s="58"/>
    </row>
    <row r="8" spans="1:10" ht="15.75" customHeight="1">
      <c r="A8" s="67" t="s">
        <v>89</v>
      </c>
      <c r="B8" s="69" t="s">
        <v>8</v>
      </c>
      <c r="C8" s="80">
        <f>3.85*12*F1</f>
        <v>448800.66</v>
      </c>
      <c r="D8" s="78" t="s">
        <v>63</v>
      </c>
      <c r="E8" s="58"/>
      <c r="F8" s="58"/>
      <c r="G8" s="58"/>
      <c r="H8" s="58"/>
      <c r="I8" s="58"/>
      <c r="J8" s="58"/>
    </row>
    <row r="9" spans="1:10" ht="15.75" customHeight="1">
      <c r="A9" s="67" t="s">
        <v>90</v>
      </c>
      <c r="B9" s="69" t="s">
        <v>9</v>
      </c>
      <c r="C9" s="76">
        <f>SUM(C10:C14)</f>
        <v>2340875.3099999996</v>
      </c>
      <c r="D9" s="77" t="s">
        <v>59</v>
      </c>
      <c r="E9" s="58"/>
      <c r="F9" s="58"/>
      <c r="G9" s="58"/>
      <c r="H9" s="58"/>
      <c r="I9" s="58"/>
      <c r="J9" s="58"/>
    </row>
    <row r="10" spans="1:10" ht="15.75" customHeight="1">
      <c r="A10" s="67" t="s">
        <v>91</v>
      </c>
      <c r="B10" s="69" t="s">
        <v>10</v>
      </c>
      <c r="C10" s="80">
        <v>2340875.3099999996</v>
      </c>
      <c r="D10" s="78" t="s">
        <v>64</v>
      </c>
      <c r="E10" s="58"/>
      <c r="F10" s="58"/>
      <c r="G10" s="58"/>
      <c r="H10" s="58"/>
      <c r="I10" s="58"/>
      <c r="J10" s="58"/>
    </row>
    <row r="11" spans="1:10" ht="15.75" customHeight="1">
      <c r="A11" s="67" t="s">
        <v>92</v>
      </c>
      <c r="B11" s="69" t="s">
        <v>11</v>
      </c>
      <c r="C11" s="80">
        <v>0</v>
      </c>
      <c r="D11" s="78" t="s">
        <v>64</v>
      </c>
      <c r="E11" s="58"/>
      <c r="F11" s="58"/>
      <c r="G11" s="58"/>
      <c r="H11" s="58"/>
      <c r="I11" s="58"/>
      <c r="J11" s="58"/>
    </row>
    <row r="12" spans="1:10" ht="15.75" customHeight="1">
      <c r="A12" s="67" t="s">
        <v>93</v>
      </c>
      <c r="B12" s="69" t="s">
        <v>12</v>
      </c>
      <c r="C12" s="80">
        <v>0</v>
      </c>
      <c r="D12" s="78" t="s">
        <v>64</v>
      </c>
      <c r="E12" s="58"/>
      <c r="F12" s="58"/>
      <c r="G12" s="58"/>
      <c r="H12" s="58"/>
      <c r="I12" s="58"/>
      <c r="J12" s="58"/>
    </row>
    <row r="13" spans="1:10" ht="15.75" customHeight="1">
      <c r="A13" s="67" t="s">
        <v>94</v>
      </c>
      <c r="B13" s="69" t="s">
        <v>13</v>
      </c>
      <c r="C13" s="80">
        <v>0</v>
      </c>
      <c r="D13" s="78" t="s">
        <v>64</v>
      </c>
      <c r="E13" s="58"/>
      <c r="F13" s="58"/>
      <c r="G13" s="58"/>
      <c r="H13" s="58"/>
      <c r="I13" s="58"/>
      <c r="J13" s="58"/>
    </row>
    <row r="14" spans="1:10" ht="15.75" customHeight="1">
      <c r="A14" s="67" t="s">
        <v>95</v>
      </c>
      <c r="B14" s="69" t="s">
        <v>14</v>
      </c>
      <c r="C14" s="80">
        <v>0</v>
      </c>
      <c r="D14" s="78" t="s">
        <v>64</v>
      </c>
      <c r="E14" s="58"/>
      <c r="F14" s="58"/>
      <c r="G14" s="58"/>
      <c r="H14" s="58"/>
      <c r="I14" s="58"/>
      <c r="J14" s="58"/>
    </row>
    <row r="15" spans="1:10" ht="15.75" customHeight="1">
      <c r="A15" s="67" t="s">
        <v>96</v>
      </c>
      <c r="B15" s="69" t="s">
        <v>15</v>
      </c>
      <c r="C15" s="76">
        <f>C9</f>
        <v>2340875.3099999996</v>
      </c>
      <c r="D15" s="77" t="s">
        <v>59</v>
      </c>
      <c r="E15" s="58"/>
      <c r="F15" s="58"/>
      <c r="G15" s="58"/>
      <c r="H15" s="58"/>
      <c r="I15" s="58"/>
      <c r="J15" s="58"/>
    </row>
    <row r="16" spans="1:10" ht="15.75" customHeight="1">
      <c r="A16" s="67" t="s">
        <v>97</v>
      </c>
      <c r="B16" s="69" t="s">
        <v>16</v>
      </c>
      <c r="C16" s="76">
        <f>IF(C2&gt;0,IF(C2+C9-C5&gt;0,C2+C9-C5,0),IF(C9-C5&gt;0,IF(C4+C5-C9&gt;0,0,C9-C5-C4),0))</f>
        <v>0</v>
      </c>
      <c r="D16" s="77" t="s">
        <v>59</v>
      </c>
      <c r="E16" s="58"/>
      <c r="F16" s="58"/>
      <c r="G16" s="58"/>
      <c r="H16" s="58"/>
      <c r="I16" s="58"/>
      <c r="J16" s="58"/>
    </row>
    <row r="17" spans="1:15" ht="15.75" customHeight="1">
      <c r="A17" s="67" t="s">
        <v>98</v>
      </c>
      <c r="B17" s="69" t="s">
        <v>17</v>
      </c>
      <c r="C17" s="76">
        <v>0</v>
      </c>
      <c r="D17" s="77" t="s">
        <v>59</v>
      </c>
      <c r="E17" s="58"/>
      <c r="F17" s="58"/>
      <c r="G17" s="58"/>
      <c r="H17" s="58"/>
      <c r="I17" s="58"/>
      <c r="J17" s="58"/>
    </row>
    <row r="18" spans="1:15" ht="15.75" customHeight="1">
      <c r="A18" s="67" t="s">
        <v>99</v>
      </c>
      <c r="B18" s="69" t="s">
        <v>18</v>
      </c>
      <c r="C18" s="76">
        <f>IF(C16&gt;0,0,IF(C4&gt;0,C4+C5-C9,C5-C2-C9))</f>
        <v>263592.38200000068</v>
      </c>
      <c r="D18" s="77" t="s">
        <v>59</v>
      </c>
      <c r="E18" s="58"/>
      <c r="F18" s="58"/>
      <c r="G18" s="58"/>
      <c r="H18" s="58"/>
      <c r="I18" s="58"/>
      <c r="J18" s="58"/>
    </row>
    <row r="19" spans="1:15" ht="18.75">
      <c r="A19" s="70" t="s">
        <v>162</v>
      </c>
      <c r="B19" s="71" t="s">
        <v>31</v>
      </c>
      <c r="C19" s="60"/>
      <c r="D19" s="60"/>
      <c r="E19" s="60"/>
      <c r="F19" s="60"/>
      <c r="G19" s="60"/>
      <c r="H19" s="60"/>
      <c r="I19" s="60"/>
      <c r="J19" s="60"/>
      <c r="M19" s="60"/>
      <c r="N19" s="60"/>
      <c r="O19" s="60"/>
    </row>
    <row r="20" spans="1:15" ht="15.75" customHeight="1">
      <c r="A20" s="67" t="s">
        <v>100</v>
      </c>
      <c r="B20" s="69" t="s">
        <v>27</v>
      </c>
      <c r="C20" s="81">
        <v>0</v>
      </c>
      <c r="D20" s="78" t="s">
        <v>67</v>
      </c>
      <c r="E20" s="58"/>
      <c r="F20" s="58"/>
      <c r="G20" s="58"/>
      <c r="H20" s="58"/>
      <c r="I20" s="58"/>
      <c r="J20" s="58"/>
      <c r="M20" s="235"/>
      <c r="N20" s="59"/>
    </row>
    <row r="21" spans="1:15" ht="15.75" customHeight="1">
      <c r="A21" s="67" t="s">
        <v>101</v>
      </c>
      <c r="B21" s="69" t="s">
        <v>28</v>
      </c>
      <c r="C21" s="81">
        <v>0</v>
      </c>
      <c r="D21" s="78" t="s">
        <v>67</v>
      </c>
      <c r="E21" s="58"/>
      <c r="F21" s="58"/>
      <c r="G21" s="58"/>
      <c r="H21" s="58"/>
      <c r="I21" s="58"/>
      <c r="J21" s="58"/>
      <c r="M21" s="235"/>
      <c r="N21" s="59"/>
    </row>
    <row r="22" spans="1:15" ht="15.75" customHeight="1">
      <c r="A22" s="67" t="s">
        <v>102</v>
      </c>
      <c r="B22" s="69" t="s">
        <v>29</v>
      </c>
      <c r="C22" s="81">
        <v>0</v>
      </c>
      <c r="D22" s="78" t="s">
        <v>67</v>
      </c>
      <c r="E22" s="58"/>
      <c r="F22" s="58"/>
      <c r="G22" s="58"/>
      <c r="H22" s="58"/>
      <c r="I22" s="58"/>
      <c r="J22" s="58"/>
      <c r="M22" s="235"/>
      <c r="N22" s="59"/>
    </row>
    <row r="23" spans="1:15" ht="15.75" customHeight="1">
      <c r="A23" s="67" t="s">
        <v>103</v>
      </c>
      <c r="B23" s="69" t="s">
        <v>30</v>
      </c>
      <c r="C23" s="82">
        <v>0</v>
      </c>
      <c r="D23" s="78" t="s">
        <v>67</v>
      </c>
      <c r="E23" s="58"/>
      <c r="F23" s="58"/>
      <c r="G23" s="58"/>
      <c r="H23" s="58"/>
      <c r="I23" s="58"/>
      <c r="J23" s="58"/>
      <c r="M23" s="235"/>
      <c r="N23" s="59"/>
    </row>
    <row r="24" spans="1:15" ht="18.75">
      <c r="A24" s="70" t="s">
        <v>163</v>
      </c>
      <c r="B24" s="68" t="s">
        <v>34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</row>
    <row r="25" spans="1:15" ht="18.75" customHeight="1">
      <c r="A25" s="67" t="s">
        <v>104</v>
      </c>
      <c r="B25" s="72" t="s">
        <v>2</v>
      </c>
      <c r="C25" s="83">
        <v>0</v>
      </c>
      <c r="D25" s="78" t="s">
        <v>58</v>
      </c>
      <c r="E25" s="61"/>
      <c r="F25" s="61"/>
      <c r="G25" s="61"/>
      <c r="H25" s="61"/>
      <c r="I25" s="61"/>
      <c r="J25" s="61"/>
      <c r="M25" s="234"/>
      <c r="N25" s="60"/>
    </row>
    <row r="26" spans="1:15" ht="18.75" customHeight="1">
      <c r="A26" s="67" t="s">
        <v>105</v>
      </c>
      <c r="B26" s="72" t="s">
        <v>3</v>
      </c>
      <c r="C26" s="79">
        <v>0</v>
      </c>
      <c r="D26" s="77" t="s">
        <v>59</v>
      </c>
      <c r="E26" s="61"/>
      <c r="F26" s="61"/>
      <c r="G26" s="61"/>
      <c r="H26" s="61"/>
      <c r="I26" s="61"/>
      <c r="J26" s="61"/>
      <c r="M26" s="234"/>
      <c r="N26" s="60"/>
    </row>
    <row r="27" spans="1:15" ht="18.75" customHeight="1">
      <c r="A27" s="67" t="s">
        <v>106</v>
      </c>
      <c r="B27" s="72" t="s">
        <v>4</v>
      </c>
      <c r="C27" s="83">
        <v>95048.62</v>
      </c>
      <c r="D27" s="78" t="s">
        <v>60</v>
      </c>
      <c r="E27" s="61"/>
      <c r="F27" s="61"/>
      <c r="G27" s="61"/>
      <c r="H27" s="61"/>
      <c r="I27" s="61"/>
      <c r="J27" s="61"/>
      <c r="M27" s="234"/>
      <c r="N27" s="60"/>
    </row>
    <row r="28" spans="1:15" ht="18.75" customHeight="1">
      <c r="A28" s="67" t="s">
        <v>107</v>
      </c>
      <c r="B28" s="72" t="s">
        <v>16</v>
      </c>
      <c r="C28" s="83">
        <v>0</v>
      </c>
      <c r="D28" s="78" t="s">
        <v>65</v>
      </c>
      <c r="E28" s="61"/>
      <c r="F28" s="61"/>
      <c r="G28" s="61"/>
      <c r="H28" s="61"/>
      <c r="I28" s="61"/>
      <c r="J28" s="61"/>
      <c r="M28" s="234"/>
      <c r="N28" s="60"/>
    </row>
    <row r="29" spans="1:15" ht="18.75" customHeight="1">
      <c r="A29" s="67" t="s">
        <v>108</v>
      </c>
      <c r="B29" s="72" t="s">
        <v>17</v>
      </c>
      <c r="C29" s="79">
        <v>0</v>
      </c>
      <c r="D29" s="77" t="s">
        <v>59</v>
      </c>
      <c r="E29" s="61"/>
      <c r="F29" s="61"/>
      <c r="G29" s="61"/>
      <c r="H29" s="61"/>
      <c r="I29" s="61"/>
      <c r="J29" s="61"/>
      <c r="M29" s="234"/>
      <c r="N29" s="60"/>
    </row>
    <row r="30" spans="1:15" ht="18.75" customHeight="1">
      <c r="A30" s="67" t="s">
        <v>109</v>
      </c>
      <c r="B30" s="72" t="s">
        <v>18</v>
      </c>
      <c r="C30" s="83">
        <f>C27+9881</f>
        <v>104929.62</v>
      </c>
      <c r="D30" s="78" t="s">
        <v>66</v>
      </c>
      <c r="E30" s="61"/>
      <c r="F30" s="61"/>
      <c r="G30" s="61"/>
      <c r="H30" s="61"/>
      <c r="I30" s="61"/>
      <c r="J30" s="61"/>
      <c r="M30" s="234"/>
      <c r="N30" s="60"/>
    </row>
    <row r="31" spans="1:15" ht="18.75" customHeight="1">
      <c r="A31" s="67" t="s">
        <v>110</v>
      </c>
      <c r="B31" s="72" t="s">
        <v>27</v>
      </c>
      <c r="C31" s="84">
        <v>0</v>
      </c>
      <c r="D31" s="78" t="s">
        <v>67</v>
      </c>
      <c r="E31" s="61"/>
      <c r="F31" s="61"/>
      <c r="G31" s="61"/>
      <c r="H31" s="61"/>
      <c r="I31" s="61"/>
      <c r="J31" s="61"/>
      <c r="M31" s="234"/>
      <c r="N31" s="60"/>
    </row>
    <row r="32" spans="1:15" ht="18.75" customHeight="1">
      <c r="A32" s="67" t="s">
        <v>111</v>
      </c>
      <c r="B32" s="72" t="s">
        <v>28</v>
      </c>
      <c r="C32" s="84">
        <v>0</v>
      </c>
      <c r="D32" s="78" t="s">
        <v>67</v>
      </c>
      <c r="E32" s="61"/>
      <c r="F32" s="61"/>
      <c r="G32" s="61"/>
      <c r="H32" s="61"/>
      <c r="I32" s="61"/>
      <c r="J32" s="61"/>
      <c r="M32" s="234"/>
      <c r="N32" s="60"/>
    </row>
    <row r="33" spans="1:15" ht="18.75" customHeight="1">
      <c r="A33" s="67" t="s">
        <v>112</v>
      </c>
      <c r="B33" s="72" t="s">
        <v>29</v>
      </c>
      <c r="C33" s="84">
        <v>0</v>
      </c>
      <c r="D33" s="78" t="s">
        <v>67</v>
      </c>
      <c r="E33" s="61"/>
      <c r="F33" s="61"/>
      <c r="G33" s="61"/>
      <c r="H33" s="61"/>
      <c r="I33" s="61"/>
      <c r="J33" s="61"/>
      <c r="M33" s="234"/>
      <c r="N33" s="60"/>
    </row>
    <row r="34" spans="1:15" ht="18.75" customHeight="1">
      <c r="A34" s="67" t="s">
        <v>113</v>
      </c>
      <c r="B34" s="72" t="s">
        <v>30</v>
      </c>
      <c r="C34" s="85">
        <v>0</v>
      </c>
      <c r="D34" s="78" t="s">
        <v>67</v>
      </c>
      <c r="E34" s="61"/>
      <c r="F34" s="61"/>
      <c r="G34" s="61"/>
      <c r="H34" s="61"/>
      <c r="I34" s="61"/>
      <c r="J34" s="61"/>
      <c r="M34" s="234"/>
      <c r="N34" s="60"/>
    </row>
    <row r="35" spans="1:15" ht="18.75">
      <c r="A35" s="70" t="s">
        <v>164</v>
      </c>
      <c r="B35" s="68" t="s">
        <v>35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</row>
    <row r="36" spans="1:15" ht="47.25">
      <c r="A36" s="70" t="s">
        <v>165</v>
      </c>
      <c r="B36" s="73" t="s">
        <v>48</v>
      </c>
      <c r="C36" s="89" t="s">
        <v>49</v>
      </c>
      <c r="D36" s="73" t="s">
        <v>50</v>
      </c>
      <c r="E36" s="73" t="s">
        <v>51</v>
      </c>
      <c r="G36" s="62"/>
      <c r="H36" s="62"/>
      <c r="I36" s="62"/>
      <c r="L36" s="60"/>
      <c r="M36" s="60"/>
      <c r="N36" s="60"/>
      <c r="O36" s="60"/>
    </row>
    <row r="37" spans="1:15" ht="18.75">
      <c r="A37" s="70" t="s">
        <v>121</v>
      </c>
      <c r="B37" s="74" t="s">
        <v>53</v>
      </c>
      <c r="C37" s="93">
        <f>IF(E37&gt;0,"Предоставляется",0)</f>
        <v>0</v>
      </c>
      <c r="D37" s="93" t="s">
        <v>52</v>
      </c>
      <c r="E37" s="92"/>
      <c r="F37" s="91" t="s">
        <v>168</v>
      </c>
      <c r="G37" s="63"/>
      <c r="H37" s="63"/>
      <c r="I37" s="63"/>
      <c r="L37" s="60"/>
      <c r="M37" s="233"/>
      <c r="N37" s="60"/>
      <c r="O37" s="60"/>
    </row>
    <row r="38" spans="1:15" ht="18.75" customHeight="1">
      <c r="A38" s="67" t="s">
        <v>114</v>
      </c>
      <c r="B38" s="75" t="s">
        <v>37</v>
      </c>
      <c r="C38" s="87"/>
      <c r="D38" s="91" t="s">
        <v>166</v>
      </c>
      <c r="E38" s="65"/>
      <c r="G38" s="64"/>
      <c r="H38" s="64"/>
      <c r="L38" s="60"/>
      <c r="M38" s="233"/>
      <c r="N38" s="60"/>
      <c r="O38" s="60"/>
    </row>
    <row r="39" spans="1:15" ht="18.75" customHeight="1">
      <c r="A39" s="67" t="s">
        <v>115</v>
      </c>
      <c r="B39" s="75" t="s">
        <v>38</v>
      </c>
      <c r="C39" s="88"/>
      <c r="D39" s="91" t="s">
        <v>167</v>
      </c>
      <c r="E39" s="65"/>
      <c r="G39" s="64"/>
      <c r="H39" s="64"/>
      <c r="L39" s="60"/>
      <c r="M39" s="233"/>
      <c r="N39" s="60"/>
      <c r="O39" s="60"/>
    </row>
    <row r="40" spans="1:15" ht="18.75" customHeight="1">
      <c r="A40" s="67" t="s">
        <v>116</v>
      </c>
      <c r="B40" s="75" t="s">
        <v>39</v>
      </c>
      <c r="C40" s="90">
        <f>IF(E37-C39&lt;0,0,E37-C39)</f>
        <v>0</v>
      </c>
      <c r="D40" s="77" t="s">
        <v>59</v>
      </c>
      <c r="E40" s="65"/>
      <c r="G40" s="64"/>
      <c r="H40" s="64"/>
      <c r="L40" s="60"/>
      <c r="M40" s="233"/>
      <c r="N40" s="60"/>
      <c r="O40" s="60"/>
    </row>
    <row r="41" spans="1:15" ht="18.75" customHeight="1">
      <c r="A41" s="67" t="s">
        <v>117</v>
      </c>
      <c r="B41" s="75" t="s">
        <v>40</v>
      </c>
      <c r="C41" s="90">
        <f>E37</f>
        <v>0</v>
      </c>
      <c r="D41" s="77" t="s">
        <v>59</v>
      </c>
      <c r="E41" s="65"/>
      <c r="G41" s="64"/>
      <c r="H41" s="64"/>
      <c r="L41" s="60"/>
      <c r="M41" s="233"/>
      <c r="N41" s="60"/>
      <c r="O41" s="60"/>
    </row>
    <row r="42" spans="1:15" ht="18.75" customHeight="1">
      <c r="A42" s="67" t="s">
        <v>118</v>
      </c>
      <c r="B42" s="75" t="s">
        <v>41</v>
      </c>
      <c r="C42" s="90">
        <f>E37</f>
        <v>0</v>
      </c>
      <c r="D42" s="77" t="s">
        <v>59</v>
      </c>
      <c r="E42" s="65"/>
      <c r="G42" s="64"/>
      <c r="H42" s="64"/>
      <c r="L42" s="60"/>
      <c r="M42" s="233"/>
      <c r="N42" s="60"/>
      <c r="O42" s="60"/>
    </row>
    <row r="43" spans="1:15" ht="18.75" customHeight="1">
      <c r="A43" s="67" t="s">
        <v>119</v>
      </c>
      <c r="B43" s="75" t="s">
        <v>42</v>
      </c>
      <c r="C43" s="90">
        <f>IF(C41-C42&lt;=0,,C41-C42)</f>
        <v>0</v>
      </c>
      <c r="D43" s="77" t="s">
        <v>59</v>
      </c>
      <c r="E43" s="65"/>
      <c r="G43" s="64"/>
      <c r="H43" s="64"/>
      <c r="L43" s="60"/>
      <c r="M43" s="233"/>
      <c r="N43" s="60"/>
      <c r="O43" s="60"/>
    </row>
    <row r="44" spans="1:15" ht="30" customHeight="1">
      <c r="A44" s="67" t="s">
        <v>120</v>
      </c>
      <c r="B44" s="75" t="s">
        <v>43</v>
      </c>
      <c r="C44" s="90">
        <v>0</v>
      </c>
      <c r="D44" s="77" t="s">
        <v>59</v>
      </c>
      <c r="E44" s="65"/>
      <c r="G44" s="64"/>
      <c r="H44" s="64"/>
      <c r="L44" s="60"/>
      <c r="M44" s="233"/>
      <c r="N44" s="60"/>
      <c r="O44" s="60"/>
    </row>
    <row r="45" spans="1:15" ht="18.75">
      <c r="A45" s="70" t="s">
        <v>122</v>
      </c>
      <c r="B45" s="74" t="s">
        <v>54</v>
      </c>
      <c r="C45" s="93" t="str">
        <f>IF(E45&gt;0,"Предоставляется",0)</f>
        <v>Предоставляется</v>
      </c>
      <c r="D45" s="93" t="s">
        <v>55</v>
      </c>
      <c r="E45" s="92">
        <v>327045.50000000012</v>
      </c>
      <c r="F45" s="91" t="s">
        <v>168</v>
      </c>
      <c r="G45" s="63"/>
      <c r="H45" s="63"/>
      <c r="L45" s="60"/>
      <c r="M45" s="233"/>
      <c r="N45" s="60"/>
      <c r="O45" s="60"/>
    </row>
    <row r="46" spans="1:15" ht="18.75" customHeight="1">
      <c r="A46" s="70" t="s">
        <v>123</v>
      </c>
      <c r="B46" s="75" t="s">
        <v>37</v>
      </c>
      <c r="C46" s="87">
        <v>21805.18516081632</v>
      </c>
      <c r="D46" s="91" t="s">
        <v>169</v>
      </c>
      <c r="E46" s="65"/>
      <c r="G46" s="64"/>
      <c r="H46" s="64"/>
      <c r="L46" s="60"/>
      <c r="M46" s="233"/>
      <c r="N46" s="60"/>
      <c r="O46" s="60"/>
    </row>
    <row r="47" spans="1:15" ht="18.75" customHeight="1">
      <c r="A47" s="70" t="s">
        <v>124</v>
      </c>
      <c r="B47" s="75" t="s">
        <v>38</v>
      </c>
      <c r="C47" s="88">
        <v>322571.29999999993</v>
      </c>
      <c r="D47" s="91" t="s">
        <v>167</v>
      </c>
      <c r="E47" s="65"/>
      <c r="G47" s="64"/>
      <c r="H47" s="64"/>
      <c r="L47" s="60"/>
      <c r="M47" s="233"/>
      <c r="N47" s="60"/>
      <c r="O47" s="60"/>
    </row>
    <row r="48" spans="1:15" ht="18.75" customHeight="1">
      <c r="A48" s="70" t="s">
        <v>125</v>
      </c>
      <c r="B48" s="75" t="s">
        <v>39</v>
      </c>
      <c r="C48" s="90">
        <f>IF(E45-C47&lt;0,0,E45-C47)</f>
        <v>4474.2000000001863</v>
      </c>
      <c r="D48" s="77" t="s">
        <v>59</v>
      </c>
      <c r="E48" s="65"/>
      <c r="G48" s="64"/>
      <c r="H48" s="64"/>
      <c r="L48" s="60"/>
      <c r="M48" s="233"/>
      <c r="N48" s="60"/>
      <c r="O48" s="60"/>
    </row>
    <row r="49" spans="1:15" ht="18.75" customHeight="1">
      <c r="A49" s="70" t="s">
        <v>126</v>
      </c>
      <c r="B49" s="75" t="s">
        <v>40</v>
      </c>
      <c r="C49" s="90">
        <f>E45</f>
        <v>327045.50000000012</v>
      </c>
      <c r="D49" s="77" t="s">
        <v>59</v>
      </c>
      <c r="E49" s="65"/>
      <c r="G49" s="64"/>
      <c r="H49" s="64"/>
      <c r="L49" s="60"/>
      <c r="M49" s="233"/>
      <c r="N49" s="60"/>
      <c r="O49" s="60"/>
    </row>
    <row r="50" spans="1:15" ht="18.75" customHeight="1">
      <c r="A50" s="70" t="s">
        <v>127</v>
      </c>
      <c r="B50" s="75" t="s">
        <v>41</v>
      </c>
      <c r="C50" s="90">
        <f>E45</f>
        <v>327045.50000000012</v>
      </c>
      <c r="D50" s="77" t="s">
        <v>59</v>
      </c>
      <c r="E50" s="65"/>
      <c r="G50" s="64"/>
      <c r="H50" s="64"/>
      <c r="L50" s="60"/>
      <c r="M50" s="233"/>
      <c r="N50" s="60"/>
      <c r="O50" s="60"/>
    </row>
    <row r="51" spans="1:15" ht="18.75" customHeight="1">
      <c r="A51" s="70" t="s">
        <v>128</v>
      </c>
      <c r="B51" s="75" t="s">
        <v>42</v>
      </c>
      <c r="C51" s="90">
        <f>IF(C49-C50&lt;=0,,C49-C50)</f>
        <v>0</v>
      </c>
      <c r="D51" s="77" t="s">
        <v>59</v>
      </c>
      <c r="E51" s="65"/>
      <c r="G51" s="64"/>
      <c r="H51" s="64"/>
      <c r="L51" s="60"/>
      <c r="M51" s="233"/>
      <c r="N51" s="60"/>
      <c r="O51" s="60"/>
    </row>
    <row r="52" spans="1:15" ht="29.25" customHeight="1">
      <c r="A52" s="70" t="s">
        <v>129</v>
      </c>
      <c r="B52" s="75" t="s">
        <v>43</v>
      </c>
      <c r="C52" s="90">
        <v>0</v>
      </c>
      <c r="D52" s="77" t="s">
        <v>59</v>
      </c>
      <c r="E52" s="65"/>
      <c r="G52" s="64"/>
      <c r="H52" s="64"/>
      <c r="L52" s="60"/>
      <c r="M52" s="233"/>
      <c r="N52" s="60"/>
      <c r="O52" s="60"/>
    </row>
    <row r="53" spans="1:15" ht="18.75">
      <c r="A53" s="70" t="s">
        <v>130</v>
      </c>
      <c r="B53" s="74" t="s">
        <v>56</v>
      </c>
      <c r="C53" s="93" t="str">
        <f>IF(E53&gt;0,"Предоставляется",0)</f>
        <v>Предоставляется</v>
      </c>
      <c r="D53" s="93" t="s">
        <v>55</v>
      </c>
      <c r="E53" s="92">
        <v>397960.49999999988</v>
      </c>
      <c r="F53" s="91" t="s">
        <v>168</v>
      </c>
      <c r="G53" s="63"/>
      <c r="H53" s="63"/>
      <c r="L53" s="60"/>
      <c r="M53" s="233"/>
      <c r="N53" s="60"/>
      <c r="O53" s="60"/>
    </row>
    <row r="54" spans="1:15" ht="18.75" customHeight="1">
      <c r="A54" s="70" t="s">
        <v>131</v>
      </c>
      <c r="B54" s="72" t="s">
        <v>37</v>
      </c>
      <c r="C54" s="95">
        <v>23909.293659170246</v>
      </c>
      <c r="D54" s="91" t="s">
        <v>169</v>
      </c>
      <c r="E54" s="66"/>
      <c r="F54" s="86"/>
      <c r="G54" s="61"/>
      <c r="H54" s="61"/>
      <c r="L54" s="60"/>
      <c r="M54" s="233"/>
      <c r="N54" s="60"/>
      <c r="O54" s="60"/>
    </row>
    <row r="55" spans="1:15" ht="18.75" customHeight="1">
      <c r="A55" s="70" t="s">
        <v>132</v>
      </c>
      <c r="B55" s="72" t="s">
        <v>38</v>
      </c>
      <c r="C55" s="83">
        <v>392553.46000000008</v>
      </c>
      <c r="D55" s="91" t="s">
        <v>167</v>
      </c>
      <c r="E55" s="66"/>
      <c r="G55" s="61"/>
      <c r="H55" s="61"/>
      <c r="L55" s="60"/>
      <c r="M55" s="233"/>
      <c r="N55" s="60"/>
      <c r="O55" s="60"/>
    </row>
    <row r="56" spans="1:15" ht="18.75" customHeight="1">
      <c r="A56" s="70" t="s">
        <v>133</v>
      </c>
      <c r="B56" s="72" t="s">
        <v>39</v>
      </c>
      <c r="C56" s="90">
        <f>IF(E53-C55&lt;0,0,E53-C55)</f>
        <v>5407.0399999998044</v>
      </c>
      <c r="D56" s="77" t="s">
        <v>59</v>
      </c>
      <c r="E56" s="66"/>
      <c r="F56" s="203"/>
      <c r="G56" s="61"/>
      <c r="H56" s="61"/>
      <c r="L56" s="60"/>
      <c r="M56" s="233"/>
      <c r="N56" s="60"/>
      <c r="O56" s="60"/>
    </row>
    <row r="57" spans="1:15" ht="18.75" customHeight="1">
      <c r="A57" s="70" t="s">
        <v>134</v>
      </c>
      <c r="B57" s="72" t="s">
        <v>40</v>
      </c>
      <c r="C57" s="90">
        <f>E53</f>
        <v>397960.49999999988</v>
      </c>
      <c r="D57" s="77" t="s">
        <v>59</v>
      </c>
      <c r="E57" s="66"/>
      <c r="F57" s="203"/>
      <c r="G57" s="61"/>
      <c r="H57" s="61"/>
      <c r="L57" s="60"/>
      <c r="M57" s="233"/>
      <c r="N57" s="60"/>
      <c r="O57" s="60"/>
    </row>
    <row r="58" spans="1:15" ht="18.75" customHeight="1">
      <c r="A58" s="70" t="s">
        <v>135</v>
      </c>
      <c r="B58" s="72" t="s">
        <v>41</v>
      </c>
      <c r="C58" s="90">
        <f>E53</f>
        <v>397960.49999999988</v>
      </c>
      <c r="D58" s="77" t="s">
        <v>59</v>
      </c>
      <c r="E58" s="66"/>
      <c r="G58" s="61"/>
      <c r="H58" s="61"/>
      <c r="L58" s="60"/>
      <c r="M58" s="233"/>
      <c r="N58" s="60"/>
      <c r="O58" s="60"/>
    </row>
    <row r="59" spans="1:15" ht="18.75" customHeight="1">
      <c r="A59" s="70" t="s">
        <v>136</v>
      </c>
      <c r="B59" s="72" t="s">
        <v>42</v>
      </c>
      <c r="C59" s="90">
        <f>IF(C57-C58&lt;=0,,C57-C58)</f>
        <v>0</v>
      </c>
      <c r="D59" s="77" t="s">
        <v>59</v>
      </c>
      <c r="E59" s="66"/>
      <c r="G59" s="61"/>
      <c r="H59" s="61"/>
      <c r="L59" s="60"/>
      <c r="M59" s="233"/>
      <c r="N59" s="60"/>
      <c r="O59" s="60"/>
    </row>
    <row r="60" spans="1:15" ht="33.75" customHeight="1">
      <c r="A60" s="70" t="s">
        <v>137</v>
      </c>
      <c r="B60" s="72" t="s">
        <v>43</v>
      </c>
      <c r="C60" s="90">
        <v>0</v>
      </c>
      <c r="D60" s="77" t="s">
        <v>59</v>
      </c>
      <c r="E60" s="66"/>
      <c r="G60" s="61"/>
      <c r="H60" s="61"/>
      <c r="L60" s="60"/>
      <c r="M60" s="233"/>
      <c r="N60" s="60"/>
      <c r="O60" s="60"/>
    </row>
    <row r="61" spans="1:15" ht="15.75">
      <c r="A61" s="70" t="s">
        <v>138</v>
      </c>
      <c r="B61" s="74" t="s">
        <v>79</v>
      </c>
      <c r="C61" s="93">
        <f>IF(E61&gt;0,"Предоставляется",0)</f>
        <v>0</v>
      </c>
      <c r="D61" s="93" t="s">
        <v>55</v>
      </c>
      <c r="E61" s="92">
        <v>0</v>
      </c>
      <c r="F61" s="91" t="s">
        <v>168</v>
      </c>
      <c r="G61" s="63"/>
      <c r="H61" s="63"/>
    </row>
    <row r="62" spans="1:15" ht="15.75" customHeight="1">
      <c r="A62" s="70" t="s">
        <v>139</v>
      </c>
      <c r="B62" s="72" t="s">
        <v>37</v>
      </c>
      <c r="C62" s="95">
        <v>0</v>
      </c>
      <c r="D62" s="91" t="s">
        <v>169</v>
      </c>
      <c r="E62" s="66"/>
      <c r="G62" s="61"/>
      <c r="H62" s="61"/>
    </row>
    <row r="63" spans="1:15" ht="15.75" customHeight="1">
      <c r="A63" s="70" t="s">
        <v>140</v>
      </c>
      <c r="B63" s="72" t="s">
        <v>38</v>
      </c>
      <c r="C63" s="83">
        <v>0</v>
      </c>
      <c r="D63" s="91" t="s">
        <v>167</v>
      </c>
      <c r="E63" s="66"/>
      <c r="G63" s="61"/>
      <c r="H63" s="61"/>
    </row>
    <row r="64" spans="1:15" ht="15.75" customHeight="1">
      <c r="A64" s="70" t="s">
        <v>141</v>
      </c>
      <c r="B64" s="72" t="s">
        <v>39</v>
      </c>
      <c r="C64" s="90">
        <f>IF(E61-C63&lt;0,0,E61-C63)</f>
        <v>0</v>
      </c>
      <c r="D64" s="77" t="s">
        <v>59</v>
      </c>
      <c r="E64" s="66"/>
      <c r="G64" s="61"/>
      <c r="H64" s="61"/>
    </row>
    <row r="65" spans="1:8" ht="15.75" customHeight="1">
      <c r="A65" s="70" t="s">
        <v>142</v>
      </c>
      <c r="B65" s="72" t="s">
        <v>40</v>
      </c>
      <c r="C65" s="90">
        <f>E61</f>
        <v>0</v>
      </c>
      <c r="D65" s="77" t="s">
        <v>59</v>
      </c>
      <c r="E65" s="66"/>
      <c r="G65" s="61"/>
      <c r="H65" s="61"/>
    </row>
    <row r="66" spans="1:8" ht="15.75" customHeight="1">
      <c r="A66" s="70" t="s">
        <v>143</v>
      </c>
      <c r="B66" s="72" t="s">
        <v>41</v>
      </c>
      <c r="C66" s="90">
        <f>E61</f>
        <v>0</v>
      </c>
      <c r="D66" s="77" t="s">
        <v>59</v>
      </c>
      <c r="E66" s="66"/>
      <c r="G66" s="61"/>
      <c r="H66" s="61"/>
    </row>
    <row r="67" spans="1:8" ht="15.75" customHeight="1">
      <c r="A67" s="70" t="s">
        <v>144</v>
      </c>
      <c r="B67" s="72" t="s">
        <v>42</v>
      </c>
      <c r="C67" s="90">
        <f>IF(C65-C66&lt;=0,,C65-C66)</f>
        <v>0</v>
      </c>
      <c r="D67" s="77" t="s">
        <v>59</v>
      </c>
      <c r="E67" s="66"/>
      <c r="G67" s="61"/>
      <c r="H67" s="61"/>
    </row>
    <row r="68" spans="1:8" ht="15.75" customHeight="1">
      <c r="A68" s="70" t="s">
        <v>145</v>
      </c>
      <c r="B68" s="72" t="s">
        <v>43</v>
      </c>
      <c r="C68" s="90">
        <v>0</v>
      </c>
      <c r="D68" s="77" t="s">
        <v>59</v>
      </c>
      <c r="E68" s="66"/>
      <c r="G68" s="61"/>
      <c r="H68" s="61"/>
    </row>
    <row r="69" spans="1:8" ht="15.75">
      <c r="A69" s="70" t="s">
        <v>146</v>
      </c>
      <c r="B69" s="74" t="s">
        <v>80</v>
      </c>
      <c r="C69" s="93">
        <f>IF(E69&gt;0,"Предоставляется",0)</f>
        <v>0</v>
      </c>
      <c r="D69" s="93" t="s">
        <v>55</v>
      </c>
      <c r="E69" s="92">
        <v>0</v>
      </c>
      <c r="F69" s="91" t="s">
        <v>168</v>
      </c>
      <c r="G69" s="63"/>
      <c r="H69" s="63"/>
    </row>
    <row r="70" spans="1:8" ht="15.75" customHeight="1">
      <c r="A70" s="70" t="s">
        <v>147</v>
      </c>
      <c r="B70" s="72" t="s">
        <v>37</v>
      </c>
      <c r="C70" s="95">
        <v>0</v>
      </c>
      <c r="D70" s="91" t="s">
        <v>169</v>
      </c>
      <c r="E70" s="66"/>
      <c r="G70" s="61"/>
      <c r="H70" s="61"/>
    </row>
    <row r="71" spans="1:8" ht="15.75" customHeight="1">
      <c r="A71" s="70" t="s">
        <v>148</v>
      </c>
      <c r="B71" s="72" t="s">
        <v>38</v>
      </c>
      <c r="C71" s="83">
        <v>0</v>
      </c>
      <c r="D71" s="91" t="s">
        <v>167</v>
      </c>
      <c r="E71" s="66"/>
      <c r="G71" s="61"/>
      <c r="H71" s="61"/>
    </row>
    <row r="72" spans="1:8" ht="15.75" customHeight="1">
      <c r="A72" s="70" t="s">
        <v>149</v>
      </c>
      <c r="B72" s="72" t="s">
        <v>39</v>
      </c>
      <c r="C72" s="90">
        <f>IF(E69-C71&lt;0,0,E69-C71)</f>
        <v>0</v>
      </c>
      <c r="D72" s="77" t="s">
        <v>59</v>
      </c>
      <c r="E72" s="66"/>
      <c r="G72" s="61"/>
      <c r="H72" s="61"/>
    </row>
    <row r="73" spans="1:8" ht="15.75" customHeight="1">
      <c r="A73" s="70" t="s">
        <v>150</v>
      </c>
      <c r="B73" s="72" t="s">
        <v>40</v>
      </c>
      <c r="C73" s="90">
        <f>E69</f>
        <v>0</v>
      </c>
      <c r="D73" s="77" t="s">
        <v>59</v>
      </c>
      <c r="E73" s="66"/>
      <c r="G73" s="61"/>
      <c r="H73" s="61"/>
    </row>
    <row r="74" spans="1:8" ht="15.75" customHeight="1">
      <c r="A74" s="70" t="s">
        <v>151</v>
      </c>
      <c r="B74" s="72" t="s">
        <v>41</v>
      </c>
      <c r="C74" s="90">
        <f>E69</f>
        <v>0</v>
      </c>
      <c r="D74" s="77" t="s">
        <v>59</v>
      </c>
      <c r="E74" s="66"/>
      <c r="G74" s="61"/>
      <c r="H74" s="61"/>
    </row>
    <row r="75" spans="1:8" ht="15.75" customHeight="1">
      <c r="A75" s="70" t="s">
        <v>152</v>
      </c>
      <c r="B75" s="72" t="s">
        <v>42</v>
      </c>
      <c r="C75" s="90">
        <f>IF(C73-C74&lt;=0,,C73-C74)</f>
        <v>0</v>
      </c>
      <c r="D75" s="77" t="s">
        <v>59</v>
      </c>
      <c r="E75" s="66"/>
      <c r="G75" s="61"/>
      <c r="H75" s="61"/>
    </row>
    <row r="76" spans="1:8" ht="15.75" customHeight="1">
      <c r="A76" s="70" t="s">
        <v>153</v>
      </c>
      <c r="B76" s="72" t="s">
        <v>43</v>
      </c>
      <c r="C76" s="90">
        <v>0</v>
      </c>
      <c r="D76" s="77" t="s">
        <v>59</v>
      </c>
      <c r="E76" s="66"/>
      <c r="G76" s="61"/>
      <c r="H76" s="61"/>
    </row>
    <row r="77" spans="1:8" ht="15.75">
      <c r="A77" s="70" t="s">
        <v>154</v>
      </c>
      <c r="B77" s="74" t="s">
        <v>81</v>
      </c>
      <c r="C77" s="93">
        <f>IF(E77&gt;0,"Предоставляется",0)</f>
        <v>0</v>
      </c>
      <c r="D77" s="93" t="s">
        <v>82</v>
      </c>
      <c r="E77" s="92">
        <v>0</v>
      </c>
      <c r="F77" s="91" t="s">
        <v>168</v>
      </c>
      <c r="G77" s="63"/>
      <c r="H77" s="63"/>
    </row>
    <row r="78" spans="1:8" ht="15.75" customHeight="1">
      <c r="A78" s="70" t="s">
        <v>155</v>
      </c>
      <c r="B78" s="72" t="s">
        <v>37</v>
      </c>
      <c r="C78" s="95">
        <v>0</v>
      </c>
      <c r="D78" s="91" t="s">
        <v>170</v>
      </c>
      <c r="E78" s="61"/>
      <c r="G78" s="61"/>
      <c r="H78" s="61"/>
    </row>
    <row r="79" spans="1:8" ht="15.75" customHeight="1">
      <c r="A79" s="70" t="s">
        <v>156</v>
      </c>
      <c r="B79" s="72" t="s">
        <v>38</v>
      </c>
      <c r="C79" s="83">
        <v>0</v>
      </c>
      <c r="D79" s="91" t="s">
        <v>167</v>
      </c>
      <c r="E79" s="61"/>
      <c r="G79" s="61"/>
      <c r="H79" s="61"/>
    </row>
    <row r="80" spans="1:8" ht="15.75" customHeight="1">
      <c r="A80" s="70" t="s">
        <v>157</v>
      </c>
      <c r="B80" s="72" t="s">
        <v>39</v>
      </c>
      <c r="C80" s="90">
        <f>IF(E77-C79&lt;0,0,E77-C79)</f>
        <v>0</v>
      </c>
      <c r="D80" s="77" t="s">
        <v>59</v>
      </c>
      <c r="E80" s="61"/>
      <c r="G80" s="61"/>
      <c r="H80" s="61"/>
    </row>
    <row r="81" spans="1:8" ht="15.75" customHeight="1">
      <c r="A81" s="70" t="s">
        <v>158</v>
      </c>
      <c r="B81" s="72" t="s">
        <v>40</v>
      </c>
      <c r="C81" s="90">
        <f>E77</f>
        <v>0</v>
      </c>
      <c r="D81" s="77" t="s">
        <v>59</v>
      </c>
      <c r="E81" s="61"/>
      <c r="G81" s="61"/>
      <c r="H81" s="61"/>
    </row>
    <row r="82" spans="1:8" ht="15.75" customHeight="1">
      <c r="A82" s="70" t="s">
        <v>159</v>
      </c>
      <c r="B82" s="72" t="s">
        <v>41</v>
      </c>
      <c r="C82" s="90">
        <f>E77</f>
        <v>0</v>
      </c>
      <c r="D82" s="77" t="s">
        <v>59</v>
      </c>
      <c r="E82" s="61"/>
      <c r="G82" s="61"/>
      <c r="H82" s="61"/>
    </row>
    <row r="83" spans="1:8" ht="15.75" customHeight="1">
      <c r="A83" s="70" t="s">
        <v>160</v>
      </c>
      <c r="B83" s="72" t="s">
        <v>42</v>
      </c>
      <c r="C83" s="90">
        <f>IF(C81-C82&lt;=0,,C81-C82)</f>
        <v>0</v>
      </c>
      <c r="D83" s="77" t="s">
        <v>59</v>
      </c>
      <c r="E83" s="61"/>
      <c r="G83" s="61"/>
      <c r="H83" s="61"/>
    </row>
    <row r="84" spans="1:8" ht="15.75" customHeight="1">
      <c r="A84" s="70" t="s">
        <v>161</v>
      </c>
      <c r="B84" s="72" t="s">
        <v>43</v>
      </c>
      <c r="C84" s="90">
        <v>0</v>
      </c>
      <c r="D84" s="77" t="s">
        <v>59</v>
      </c>
      <c r="E84" s="61"/>
      <c r="G84" s="61"/>
      <c r="H84" s="61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9" sqref="D9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4" t="s">
        <v>44</v>
      </c>
      <c r="C1" s="55"/>
      <c r="D1" s="55"/>
      <c r="E1" s="60"/>
      <c r="F1" s="60"/>
      <c r="G1" s="60"/>
      <c r="H1" s="60"/>
      <c r="I1" s="60"/>
      <c r="J1" s="60"/>
      <c r="K1" s="106"/>
      <c r="L1" s="106"/>
      <c r="M1" s="106"/>
      <c r="N1" s="106"/>
      <c r="O1" s="106"/>
      <c r="P1" s="1"/>
      <c r="Q1" s="1"/>
      <c r="R1" s="1"/>
      <c r="S1" s="1"/>
      <c r="T1" s="1"/>
    </row>
    <row r="2" spans="1:20" ht="18.75" customHeight="1">
      <c r="A2" t="s">
        <v>171</v>
      </c>
      <c r="B2" s="56" t="s">
        <v>45</v>
      </c>
      <c r="C2" s="102"/>
      <c r="D2" s="104" t="s">
        <v>67</v>
      </c>
      <c r="E2" s="61"/>
      <c r="F2" s="61"/>
      <c r="G2" s="61"/>
      <c r="H2" s="61"/>
      <c r="I2" s="61"/>
      <c r="J2" s="61"/>
      <c r="K2" s="105"/>
      <c r="L2" s="105"/>
      <c r="M2" s="106"/>
      <c r="N2" s="106"/>
      <c r="O2" s="105"/>
      <c r="P2" s="1"/>
      <c r="Q2" s="1"/>
      <c r="R2" s="1"/>
      <c r="S2" s="1"/>
      <c r="T2" s="1"/>
    </row>
    <row r="3" spans="1:20" ht="20.25" customHeight="1">
      <c r="A3" t="s">
        <v>172</v>
      </c>
      <c r="B3" s="56" t="s">
        <v>46</v>
      </c>
      <c r="C3" s="102">
        <v>7</v>
      </c>
      <c r="D3" s="104" t="s">
        <v>67</v>
      </c>
      <c r="E3" s="61"/>
      <c r="F3" s="61"/>
      <c r="G3" s="61"/>
      <c r="H3" s="61"/>
      <c r="I3" s="61"/>
      <c r="J3" s="61"/>
      <c r="K3" s="105"/>
      <c r="L3" s="105"/>
      <c r="M3" s="107"/>
      <c r="N3" s="106"/>
      <c r="O3" s="105"/>
      <c r="P3" s="1"/>
      <c r="Q3" s="1"/>
      <c r="R3" s="1"/>
      <c r="S3" s="1"/>
    </row>
    <row r="4" spans="1:20" ht="18.75" customHeight="1">
      <c r="A4" t="s">
        <v>173</v>
      </c>
      <c r="B4" s="56" t="s">
        <v>47</v>
      </c>
      <c r="C4" s="103"/>
      <c r="D4" s="104" t="s">
        <v>67</v>
      </c>
      <c r="E4" s="61"/>
      <c r="F4" s="61"/>
      <c r="G4" s="61"/>
      <c r="H4" s="61"/>
      <c r="I4" s="61"/>
      <c r="J4" s="61"/>
      <c r="K4" s="105"/>
      <c r="L4" s="105"/>
      <c r="M4" s="106"/>
      <c r="N4" s="106"/>
      <c r="O4" s="105"/>
      <c r="P4" s="1"/>
      <c r="Q4" s="1"/>
      <c r="R4" s="1"/>
      <c r="S4" s="1"/>
      <c r="T4" s="1"/>
    </row>
    <row r="5" spans="1:20"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</row>
    <row r="6" spans="1:20"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</row>
    <row r="7" spans="1:20"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</row>
    <row r="8" spans="1:20"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</row>
    <row r="9" spans="1:20"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</row>
    <row r="10" spans="1:20"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</row>
    <row r="11" spans="1:20"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</row>
    <row r="12" spans="1:20"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</row>
    <row r="13" spans="1:20"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</row>
    <row r="14" spans="1:20"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</row>
    <row r="15" spans="1:20"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</row>
    <row r="16" spans="1:20"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</row>
    <row r="17" spans="2:15"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</row>
    <row r="18" spans="2:15"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</row>
    <row r="19" spans="2:15"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</row>
    <row r="20" spans="2:15"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</row>
    <row r="21" spans="2:15"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</row>
    <row r="22" spans="2:15"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</row>
    <row r="23" spans="2:15"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2023-03-30T05:48:39Z</dcterms:modified>
</cp:coreProperties>
</file>