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A194" i="1" l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7" i="1"/>
  <c r="G94" i="1"/>
  <c r="K94" i="1"/>
  <c r="F102" i="1" l="1"/>
  <c r="A109" i="1"/>
  <c r="A105" i="1"/>
  <c r="A117" i="1"/>
  <c r="A119" i="1"/>
  <c r="F110" i="1"/>
  <c r="A114" i="1"/>
  <c r="A113" i="1"/>
  <c r="A118" i="1"/>
  <c r="A141" i="1"/>
  <c r="A101" i="1"/>
  <c r="F134" i="1"/>
  <c r="F94" i="1"/>
  <c r="A123" i="1"/>
  <c r="A137" i="1"/>
  <c r="D118" i="1"/>
  <c r="A120" i="1"/>
  <c r="A124" i="1"/>
  <c r="F118" i="1"/>
  <c r="A121" i="1"/>
  <c r="A125" i="1"/>
  <c r="D110" i="1"/>
  <c r="A112" i="1"/>
  <c r="A116" i="1"/>
  <c r="A110" i="1"/>
  <c r="A111" i="1"/>
  <c r="A98" i="1"/>
  <c r="A94" i="1"/>
  <c r="A99" i="1"/>
  <c r="A95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<sst xmlns="http://schemas.openxmlformats.org/spreadsheetml/2006/main" count="556" uniqueCount="204">
  <si>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</si>
  <si>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</si>
  <si>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</si>
  <si>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</si>
  <si>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</si>
  <si>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</si>
  <si>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</si>
  <si>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</si>
  <si>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</si>
  <si>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</si>
  <si>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</si>
  <si>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</si>
  <si>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</si>
  <si>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</si>
  <si>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</si>
  <si>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</si>
  <si>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</si>
  <si>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</si>
  <si>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</si>
  <si>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</si>
  <si>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</si>
  <si>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</si>
  <si>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</si>
  <si>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</si>
  <si>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</si>
  <si>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</si>
  <si>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</si>
  <si>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</si>
  <si>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</si>
  <si>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</si>
  <si>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</si>
  <si>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</si>
  <si>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</si>
  <si>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</si>
  <si>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</si>
  <si>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</si>
  <si>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</si>
  <si>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</si>
  <si>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</si>
  <si>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</si>
  <si>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</si>
  <si>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</si>
  <si>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</si>
  <si>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</si>
  <si>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</si>
  <si>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</si>
  <si>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</si>
  <si>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</si>
  <si>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</si>
  <si>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</si>
  <si>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</si>
  <si>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</si>
  <si>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</si>
  <si>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</si>
  <si>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</si>
  <si>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</si>
  <si>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</si>
  <si>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</si>
  <si>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</si>
  <si>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</si>
  <si>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</si>
  <si>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</si>
  <si>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</si>
  <si>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</si>
  <si>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</si>
  <si>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</si>
  <si>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</si>
  <si>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</si>
  <si>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</si>
  <si>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</si>
  <si>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</si>
  <si>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</si>
  <si>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</si>
  <si>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</si>
  <si>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</si>
  <si>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</si>
  <si>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</si>
  <si>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</si>
  <si>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</si>
  <si>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</si>
  <si>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</si>
  <si>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</si>
  <si>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</si>
  <si>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</si>
  <si>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</si>
  <si>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</si>
  <si>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</si>
  <si>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</si>
  <si>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</si>
  <si>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</si>
  <si>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</si>
  <si>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</si>
  <si>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</si>
  <si>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</si>
  <si>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</si>
  <si>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</si>
  <si>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</si>
  <si>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</si>
  <si>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</si>
  <si>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</si>
  <si>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</si>
  <si>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</si>
  <si>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</si>
  <si>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</si>
  <si>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</si>
  <si>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</si>
  <si>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</si>
  <si>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</si>
  <si>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</si>
  <si>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</si>
  <si>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</si>
  <si>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</si>
  <si>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</si>
  <si>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</si>
  <si>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</si>
  <si>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</si>
  <si>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</si>
  <si>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</si>
  <si>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</si>
  <si>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</si>
  <si>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</si>
  <si>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</si>
  <si>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</si>
  <si>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</si>
  <si>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</si>
  <si>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</si>
  <si>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</si>
  <si>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</si>
  <si>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</si>
  <si>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</si>
  <si>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</si>
  <si>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</si>
  <si>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</si>
  <si>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</si>
  <si>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</si>
  <si>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</si>
  <si>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</si>
  <si>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</si>
  <si>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</si>
  <si>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</si>
  <si>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</si>
  <si>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</si>
  <si>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</si>
  <si>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</si>
  <si>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</si>
  <si>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</si>
  <si>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</si>
  <si>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</si>
  <si>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</si>
  <si>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</si>
  <si>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</si>
  <si>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</si>
  <si>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</si>
  <si>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</si>
  <si>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</si>
  <si>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</si>
  <si>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</si>
  <si>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</si>
  <si>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</si>
  <si>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</si>
  <si>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</si>
  <si>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</si>
  <si>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</si>
  <si>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</si>
  <si>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</si>
  <si>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</si>
  <si>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</si>
  <si>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</si>
  <si>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</si>
  <si>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</si>
  <si>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</si>
  <si>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</si>
  <si>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</si>
  <si>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</si>
  <si>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</si>
  <si>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</si>
  <si>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</si>
  <si>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</si>
  <si>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ежегодно</t>
  </si>
  <si>
    <t>площадь дома</t>
  </si>
  <si>
    <t>Отчет об исполнении договора управления многоквартирного дома 
Первомайский, 33/2 в части текущего ремонта</t>
  </si>
  <si>
    <t>Начало отчетного периода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</si>
  <si>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</si>
  <si>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2021 году (руб.)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</si>
  <si>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</si>
  <si>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</si>
  <si>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</si>
  <si>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Ремонт подъезда.</t>
  </si>
  <si>
    <t>разово</t>
  </si>
  <si>
    <t>Замена кабель каналов в подъезде.</t>
  </si>
  <si>
    <t>Замена светильников в подъезде.</t>
  </si>
  <si>
    <t>АВР 1/22 от 19.05.2022, Решение, калькуляция</t>
  </si>
  <si>
    <t>АВР 2/22 от 19.05.2022, Решение, калькуляция</t>
  </si>
  <si>
    <t>АВР 3/22 от 02.06.2022, Решение, счет №04 от 20.04.2022</t>
  </si>
  <si>
    <t>Приобретение и установка автоматического выключателя в шахте лифта.</t>
  </si>
  <si>
    <t>АВР 4/22 от 30.07.2022, Решение, счет №278 от 02.06.2022</t>
  </si>
  <si>
    <t>Приобретение и монтаж межтамбурной двери (1 подъезд).</t>
  </si>
  <si>
    <t>АВР 5/22 от 25.08.2022, Решение, счет №33/2 от 17.08.2022</t>
  </si>
  <si>
    <t>Замена канализационного выпуска.</t>
  </si>
  <si>
    <t>АВР 6/22 от 11.11.2022, Решение, счет №21 от 17.11.2022</t>
  </si>
  <si>
    <t>Механизированная уборка и вывоз снега с придомовой территории.</t>
  </si>
  <si>
    <t>АВР 7/22 от 03.03.2022, Решение</t>
  </si>
  <si>
    <t>АВР 8/22 от 28.02.2022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</si>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</sst>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13" fillId="3" borderId="0" xfId="0" applyFont="1" applyFill="1" applyBorder="1" applyAlignment="1">
      <alignment wrapText="1"/>
    </xf>
    <xf numFmtId="4" fontId="12" fillId="3" borderId="0" xfId="0" applyNumberFormat="1" applyFont="1" applyFill="1"/>
    <xf numFmtId="4" fontId="0" fillId="0" borderId="0" xfId="0" applyNumberFormat="1" applyBorder="1" applyAlignment="1">
      <alignment horizontal="center"/>
    </xf>
    <xf numFmtId="4" fontId="22" fillId="3" borderId="0" xfId="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20" fillId="0" borderId="0" xfId="5" applyNumberFormat="1" applyFont="1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1" fillId="0" borderId="0" xfId="5" applyFont="1" applyFill="1" applyBorder="1"/>
    <xf numFmtId="4" fontId="12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5" applyFill="1" applyBorder="1" applyAlignment="1"/>
    <xf numFmtId="0" fontId="5" fillId="0" borderId="0" xfId="5" applyFill="1" applyBorder="1" applyAlignment="1">
      <alignment horizontal="center"/>
    </xf>
    <xf numFmtId="4" fontId="12" fillId="0" borderId="0" xfId="0" applyNumberFormat="1" applyFont="1" applyBorder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18" sqref="K21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62" t="s">
        <v>176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181</v>
      </c>
      <c r="E4" s="118">
        <v>44562</v>
      </c>
      <c r="K4" s="111"/>
      <c r="L4" s="111"/>
      <c r="M4" s="111"/>
      <c r="N4" s="111"/>
    </row>
    <row r="5" spans="1:18">
      <c r="A5" s="1" t="s">
        <v>0</v>
      </c>
      <c r="E5" s="118">
        <v>44926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9" t="s">
        <v>1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3"/>
      <c r="M8" s="111"/>
      <c r="N8" s="111"/>
      <c r="O8" s="71" t="s">
        <v>82</v>
      </c>
      <c r="R8" s="16"/>
    </row>
    <row r="9" spans="1:18" ht="18.75" customHeight="1" outlineLevel="1">
      <c r="A9" s="159" t="s">
        <v>2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3"/>
      <c r="M9" s="111"/>
      <c r="N9" s="111"/>
      <c r="O9" s="71" t="s">
        <v>83</v>
      </c>
    </row>
    <row r="10" spans="1:18" ht="18.75" customHeight="1" outlineLevel="1">
      <c r="A10" s="159" t="s">
        <v>3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364168.71600000001</v>
      </c>
      <c r="K10" s="111"/>
      <c r="L10" s="163"/>
      <c r="M10" s="111"/>
      <c r="N10" s="111"/>
      <c r="O10" s="71" t="s">
        <v>84</v>
      </c>
    </row>
    <row r="11" spans="1:18" outlineLevel="1">
      <c r="A11" s="159" t="s">
        <v>4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507927.576</v>
      </c>
      <c r="K11" s="111"/>
      <c r="L11" s="163"/>
      <c r="M11" s="111"/>
      <c r="N11" s="111"/>
      <c r="O11" s="71" t="s">
        <v>85</v>
      </c>
    </row>
    <row r="12" spans="1:18" ht="18.75" customHeight="1" outlineLevel="1">
      <c r="A12" s="159" t="s">
        <v>5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381079.48799999995</v>
      </c>
      <c r="K12" s="111"/>
      <c r="L12" s="163"/>
      <c r="M12" s="111"/>
      <c r="N12" s="111"/>
      <c r="O12" s="71" t="s">
        <v>86</v>
      </c>
    </row>
    <row r="13" spans="1:18" ht="18.75" customHeight="1" outlineLevel="1">
      <c r="A13" s="159" t="s">
        <v>6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126848.08800000002</v>
      </c>
      <c r="K13" s="111"/>
      <c r="L13" s="163"/>
      <c r="M13" s="111"/>
      <c r="N13" s="111"/>
      <c r="O13" s="71" t="s">
        <v>87</v>
      </c>
    </row>
    <row r="14" spans="1:18" ht="18.75" customHeight="1" outlineLevel="1">
      <c r="A14" s="159" t="s">
        <v>7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1"/>
      <c r="L14" s="163"/>
      <c r="M14" s="111"/>
      <c r="N14" s="111"/>
      <c r="O14" s="71" t="s">
        <v>88</v>
      </c>
    </row>
    <row r="15" spans="1:18" ht="18.75" customHeight="1" outlineLevel="1">
      <c r="A15" s="159" t="s">
        <v>8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495053.15000000014</v>
      </c>
      <c r="K15" s="111"/>
      <c r="L15" s="163"/>
      <c r="M15" s="111"/>
      <c r="N15" s="111"/>
      <c r="O15" s="71" t="s">
        <v>89</v>
      </c>
    </row>
    <row r="16" spans="1:18" ht="18.75" customHeight="1" outlineLevel="1">
      <c r="A16" s="159" t="s">
        <v>9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495053.15000000014</v>
      </c>
      <c r="K16" s="111"/>
      <c r="L16" s="163"/>
      <c r="M16" s="111"/>
      <c r="N16" s="111"/>
      <c r="O16" s="71" t="s">
        <v>90</v>
      </c>
    </row>
    <row r="17" spans="1:23" ht="18.75" customHeight="1" outlineLevel="1">
      <c r="A17" s="159" t="s">
        <v>10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3"/>
      <c r="M17" s="111"/>
      <c r="N17" s="111"/>
      <c r="O17" s="71" t="s">
        <v>91</v>
      </c>
    </row>
    <row r="18" spans="1:23" ht="18.75" customHeight="1" outlineLevel="1">
      <c r="A18" s="159" t="s">
        <v>11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3"/>
      <c r="M18" s="111"/>
      <c r="N18" s="111"/>
      <c r="O18" s="71" t="s">
        <v>92</v>
      </c>
    </row>
    <row r="19" spans="1:23" ht="18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3"/>
      <c r="M19" s="111"/>
      <c r="N19" s="111"/>
      <c r="O19" s="71" t="s">
        <v>93</v>
      </c>
    </row>
    <row r="20" spans="1:23" ht="18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3"/>
      <c r="M20" s="111"/>
      <c r="N20" s="111"/>
      <c r="O20" s="71" t="s">
        <v>94</v>
      </c>
    </row>
    <row r="21" spans="1:23" ht="18.75" customHeight="1" outlineLevel="1">
      <c r="A21" s="159" t="s">
        <v>14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495053.15000000014</v>
      </c>
      <c r="K21" s="111"/>
      <c r="L21" s="163"/>
      <c r="M21" s="111"/>
      <c r="N21" s="111"/>
      <c r="O21" s="71" t="s">
        <v>95</v>
      </c>
    </row>
    <row r="22" spans="1:23" ht="18.75" customHeight="1" outlineLevel="1">
      <c r="A22" s="159" t="s">
        <v>15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3"/>
      <c r="M22" s="111"/>
      <c r="N22" s="111"/>
      <c r="O22" s="71" t="s">
        <v>96</v>
      </c>
    </row>
    <row r="23" spans="1:23" ht="18.75" customHeight="1" outlineLevel="1">
      <c r="A23" s="159" t="s">
        <v>16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3"/>
      <c r="M23" s="111"/>
      <c r="N23" s="111"/>
      <c r="O23" s="71" t="s">
        <v>97</v>
      </c>
    </row>
    <row r="24" spans="1:23" ht="18.75" customHeight="1" outlineLevel="1">
      <c r="A24" s="159" t="s">
        <v>17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377043.14199999988</v>
      </c>
      <c r="K24" s="111"/>
      <c r="L24" s="163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70787.64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1">
        <f>VLOOKUP(A29,ПТО!$A$39:$D$53,2,FALSE)</f>
        <v>67907.520000000004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64"/>
      <c r="M29" s="111"/>
      <c r="N29" s="111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43141.2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6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31956.48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64"/>
      <c r="M32" s="111"/>
      <c r="N32" s="111"/>
      <c r="O32" s="23">
        <f t="shared" si="1"/>
        <v>0</v>
      </c>
      <c r="R32" s="1" t="s">
        <v>70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10918.44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48201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0"/>
      <c r="C35" s="140"/>
      <c r="D35" s="140"/>
      <c r="E35" s="140"/>
      <c r="F35" s="141">
        <f>VLOOKUP(A35,ПТО!$A$39:$D$53,2,FALSE)</f>
        <v>106255.32</v>
      </c>
      <c r="G35" s="141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1"/>
      <c r="L35" s="164"/>
      <c r="M35" s="117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64"/>
      <c r="M36" s="117"/>
      <c r="N36" s="111"/>
      <c r="O36" s="23">
        <f t="shared" si="1"/>
        <v>0</v>
      </c>
      <c r="R36" s="1" t="s">
        <v>70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64"/>
      <c r="M37" s="117"/>
      <c r="N37" s="111"/>
      <c r="O37" s="23">
        <f t="shared" si="1"/>
        <v>0</v>
      </c>
      <c r="R37" s="1" t="s">
        <v>70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64"/>
      <c r="M38" s="117"/>
      <c r="N38" s="111"/>
      <c r="O38" s="23">
        <f t="shared" si="1"/>
        <v>0</v>
      </c>
      <c r="R38" s="1" t="s">
        <v>70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64"/>
      <c r="M39" s="117"/>
      <c r="N39" s="111"/>
      <c r="O39" s="23">
        <f t="shared" si="1"/>
        <v>0</v>
      </c>
      <c r="R39" s="1" t="s">
        <v>70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64"/>
      <c r="M40" s="117"/>
      <c r="N40" s="111"/>
      <c r="O40" s="23">
        <f t="shared" si="1"/>
        <v>0</v>
      </c>
      <c r="R40" s="1" t="s">
        <v>70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64"/>
      <c r="M41" s="117"/>
      <c r="N41" s="111"/>
      <c r="O41" s="23">
        <f t="shared" si="1"/>
        <v>0</v>
      </c>
      <c r="R41" s="1" t="s">
        <v>70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64"/>
      <c r="M42" s="117"/>
      <c r="N42" s="111"/>
      <c r="O42" s="23">
        <f t="shared" si="1"/>
        <v>0</v>
      </c>
      <c r="R42" s="1" t="s">
        <v>70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1">
        <f>VLOOKUP(A43,ПТО!$A$2:$D$31,4,FALSE)</f>
        <v>8100</v>
      </c>
      <c r="G43" s="141"/>
      <c r="H43" s="19" t="str">
        <f>VLOOKUP(A43,ПТО!$A$2:$D$31,2,FALSE)</f>
        <v>ежегодно</v>
      </c>
      <c r="I43" s="142">
        <f>VLOOKUP(A43,ПТО!$A$2:$D$31,3,FALSE)</f>
        <v>1</v>
      </c>
      <c r="J43" s="142"/>
      <c r="K43" s="111"/>
      <c r="L43" s="164"/>
      <c r="M43" s="117"/>
      <c r="N43" s="111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0" t="str">
        <f>ПТО!A3</f>
        <v>Замена светильников в подъезде.</v>
      </c>
      <c r="B44" s="140"/>
      <c r="C44" s="140"/>
      <c r="D44" s="140"/>
      <c r="E44" s="140"/>
      <c r="F44" s="141">
        <f>VLOOKUP(A44,ПТО!$A$2:$D$31,4,FALSE)</f>
        <v>39619.31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1"/>
      <c r="L44" s="164"/>
      <c r="M44" s="117"/>
      <c r="N44" s="111"/>
      <c r="O44" s="23" t="str">
        <f t="shared" si="1"/>
        <v>Замена светильников в подъезде.</v>
      </c>
      <c r="R44" s="22" t="s">
        <v>71</v>
      </c>
    </row>
    <row r="45" spans="1:18" ht="51" customHeight="1" outlineLevel="1">
      <c r="A45" s="140" t="str">
        <f>ПТО!A4</f>
        <v>Замена кабель каналов в подъезде.</v>
      </c>
      <c r="B45" s="140"/>
      <c r="C45" s="140"/>
      <c r="D45" s="140"/>
      <c r="E45" s="140"/>
      <c r="F45" s="141">
        <f>VLOOKUP(A45,ПТО!$A$2:$D$31,4,FALSE)</f>
        <v>68028.14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64"/>
      <c r="M45" s="117"/>
      <c r="N45" s="111"/>
      <c r="O45" s="23" t="str">
        <f t="shared" si="1"/>
        <v>Замена кабель каналов в подъезде.</v>
      </c>
      <c r="R45" s="22" t="s">
        <v>71</v>
      </c>
    </row>
    <row r="46" spans="1:18" ht="51" customHeight="1" outlineLevel="1">
      <c r="A46" s="140" t="str">
        <f>ПТО!A5</f>
        <v>Ремонт подъезда.</v>
      </c>
      <c r="B46" s="140"/>
      <c r="C46" s="140"/>
      <c r="D46" s="140"/>
      <c r="E46" s="140"/>
      <c r="F46" s="141">
        <f>VLOOKUP(A46,ПТО!$A$2:$D$31,4,FALSE)</f>
        <v>299524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64"/>
      <c r="M46" s="117"/>
      <c r="N46" s="111"/>
      <c r="O46" s="23" t="str">
        <f t="shared" si="1"/>
        <v>Ремонт подъезда.</v>
      </c>
      <c r="R46" s="22" t="s">
        <v>71</v>
      </c>
    </row>
    <row r="47" spans="1:18" ht="51" customHeight="1" outlineLevel="1">
      <c r="A47" s="140" t="str">
        <f>ПТО!A6</f>
        <v>Приобретение и установка автоматического выключателя в шахте лифта.</v>
      </c>
      <c r="B47" s="140"/>
      <c r="C47" s="140"/>
      <c r="D47" s="140"/>
      <c r="E47" s="140"/>
      <c r="F47" s="141">
        <f>VLOOKUP(A47,ПТО!$A$2:$D$31,4,FALSE)</f>
        <v>490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64"/>
      <c r="M47" s="117"/>
      <c r="N47" s="111"/>
      <c r="O47" s="23" t="str">
        <f t="shared" si="1"/>
        <v>Приобретение и установка автоматического выключателя в шахте лифта.</v>
      </c>
      <c r="R47" s="22" t="s">
        <v>71</v>
      </c>
    </row>
    <row r="48" spans="1:18" ht="51" customHeight="1" outlineLevel="1">
      <c r="A48" s="140" t="str">
        <f>ПТО!A7</f>
        <v>Приобретение и монтаж межтамбурной двери (1 подъезд).</v>
      </c>
      <c r="B48" s="140"/>
      <c r="C48" s="140"/>
      <c r="D48" s="140"/>
      <c r="E48" s="140"/>
      <c r="F48" s="141">
        <f>VLOOKUP(A48,ПТО!$A$2:$D$31,4,FALSE)</f>
        <v>62682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64"/>
      <c r="M48" s="117"/>
      <c r="N48" s="111"/>
      <c r="O48" s="23" t="str">
        <f t="shared" si="1"/>
        <v>Приобретение и монтаж межтамбурной двери (1 подъезд).</v>
      </c>
      <c r="R48" s="22" t="s">
        <v>71</v>
      </c>
    </row>
    <row r="49" spans="1:18" ht="51" customHeight="1" outlineLevel="1">
      <c r="A49" s="140" t="str">
        <f>ПТО!A8</f>
        <v>Замена канализационного выпуска.</v>
      </c>
      <c r="B49" s="140"/>
      <c r="C49" s="140"/>
      <c r="D49" s="140"/>
      <c r="E49" s="140"/>
      <c r="F49" s="141">
        <f>VLOOKUP(A49,ПТО!$A$2:$D$31,4,FALSE)</f>
        <v>58900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64"/>
      <c r="M49" s="117"/>
      <c r="N49" s="111"/>
      <c r="O49" s="23" t="str">
        <f t="shared" si="1"/>
        <v>Замена канализационного выпуска.</v>
      </c>
      <c r="R49" s="22" t="s">
        <v>71</v>
      </c>
    </row>
    <row r="50" spans="1:18" ht="51" customHeight="1" outlineLevel="1">
      <c r="A50" s="140" t="str">
        <f>ПТО!A9</f>
        <v>Механизированная уборка и вывоз снега с придомовой территории.</v>
      </c>
      <c r="B50" s="140"/>
      <c r="C50" s="140"/>
      <c r="D50" s="140"/>
      <c r="E50" s="140"/>
      <c r="F50" s="141">
        <f>VLOOKUP(A50,ПТО!$A$2:$D$31,4,FALSE)</f>
        <v>11603</v>
      </c>
      <c r="G50" s="141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11"/>
      <c r="L50" s="164"/>
      <c r="M50" s="117"/>
      <c r="N50" s="111"/>
      <c r="O50" s="23" t="str">
        <f t="shared" si="1"/>
        <v>Механизированная уборка и вывоз снега с придомовой территории.</v>
      </c>
      <c r="R50" s="22" t="s">
        <v>71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64"/>
      <c r="M51" s="117"/>
      <c r="N51" s="111"/>
      <c r="O51" s="23">
        <f t="shared" si="1"/>
        <v>0</v>
      </c>
      <c r="R51" s="22" t="s">
        <v>71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64"/>
      <c r="M52" s="117"/>
      <c r="N52" s="111"/>
      <c r="O52" s="23">
        <f t="shared" si="1"/>
        <v>0</v>
      </c>
      <c r="R52" s="22" t="s">
        <v>71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64"/>
      <c r="M53" s="117"/>
      <c r="N53" s="111"/>
      <c r="O53" s="23">
        <f t="shared" si="1"/>
        <v>0</v>
      </c>
      <c r="R53" s="22" t="s">
        <v>71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64"/>
      <c r="M54" s="117"/>
      <c r="N54" s="111"/>
      <c r="O54" s="23">
        <f t="shared" si="1"/>
        <v>0</v>
      </c>
      <c r="R54" s="22" t="s">
        <v>71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64"/>
      <c r="M55" s="117"/>
      <c r="N55" s="111"/>
      <c r="O55" s="23">
        <f t="shared" si="1"/>
        <v>0</v>
      </c>
      <c r="R55" s="22" t="s">
        <v>71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64"/>
      <c r="M56" s="117"/>
      <c r="N56" s="111"/>
      <c r="O56" s="23">
        <f t="shared" si="1"/>
        <v>0</v>
      </c>
      <c r="R56" s="22" t="s">
        <v>71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64"/>
      <c r="M57" s="117"/>
      <c r="N57" s="111"/>
      <c r="O57" s="23">
        <f t="shared" si="1"/>
        <v>0</v>
      </c>
      <c r="R57" s="22" t="s">
        <v>71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64"/>
      <c r="M58" s="117"/>
      <c r="N58" s="111"/>
      <c r="O58" s="23">
        <f t="shared" si="1"/>
        <v>0</v>
      </c>
      <c r="R58" s="22" t="s">
        <v>71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64"/>
      <c r="M59" s="117"/>
      <c r="N59" s="111"/>
      <c r="O59" s="23">
        <f t="shared" si="1"/>
        <v>0</v>
      </c>
      <c r="R59" s="22" t="s">
        <v>71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64"/>
      <c r="M60" s="117"/>
      <c r="N60" s="111"/>
      <c r="O60" s="23">
        <f t="shared" si="1"/>
        <v>0</v>
      </c>
      <c r="R60" s="22" t="s">
        <v>71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64"/>
      <c r="M61" s="117"/>
      <c r="N61" s="111"/>
      <c r="O61" s="23">
        <f t="shared" si="1"/>
        <v>0</v>
      </c>
      <c r="R61" s="22" t="s">
        <v>71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64"/>
      <c r="M62" s="117"/>
      <c r="N62" s="111"/>
      <c r="O62" s="23">
        <f t="shared" si="1"/>
        <v>0</v>
      </c>
      <c r="R62" s="22" t="s">
        <v>71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64"/>
      <c r="M63" s="117"/>
      <c r="N63" s="111"/>
      <c r="O63" s="23">
        <f t="shared" si="1"/>
        <v>0</v>
      </c>
      <c r="R63" s="22" t="s">
        <v>71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64"/>
      <c r="M64" s="117"/>
      <c r="N64" s="111"/>
      <c r="O64" s="23">
        <f t="shared" si="1"/>
        <v>0</v>
      </c>
      <c r="R64" s="22" t="s">
        <v>71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64"/>
      <c r="M65" s="117"/>
      <c r="N65" s="111"/>
      <c r="O65" s="23">
        <f t="shared" si="1"/>
        <v>0</v>
      </c>
      <c r="R65" s="22" t="s">
        <v>71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64"/>
      <c r="M66" s="117"/>
      <c r="N66" s="111"/>
      <c r="O66" s="23">
        <f t="shared" si="1"/>
        <v>0</v>
      </c>
      <c r="R66" s="22" t="s">
        <v>71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64"/>
      <c r="M67" s="117"/>
      <c r="N67" s="111"/>
      <c r="O67" s="23">
        <f t="shared" si="1"/>
        <v>0</v>
      </c>
      <c r="R67" s="22" t="s">
        <v>71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64"/>
      <c r="M68" s="117"/>
      <c r="N68" s="111"/>
      <c r="O68" s="23">
        <f t="shared" si="1"/>
        <v>0</v>
      </c>
      <c r="R68" s="22" t="s">
        <v>71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64"/>
      <c r="M69" s="117"/>
      <c r="N69" s="111"/>
      <c r="O69" s="23">
        <f t="shared" si="1"/>
        <v>0</v>
      </c>
      <c r="R69" s="22" t="s">
        <v>71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64"/>
      <c r="M70" s="117"/>
      <c r="N70" s="111"/>
      <c r="O70" s="23">
        <f t="shared" si="1"/>
        <v>0</v>
      </c>
      <c r="R70" s="22" t="s">
        <v>71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64"/>
      <c r="M71" s="117"/>
      <c r="N71" s="117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64"/>
      <c r="M72" s="117"/>
      <c r="N72" s="111"/>
      <c r="O72" s="23">
        <f t="shared" si="1"/>
        <v>0</v>
      </c>
      <c r="R72" s="22" t="s">
        <v>71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8" t="s">
        <v>26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47"/>
      <c r="M75" s="111"/>
      <c r="N75" s="111"/>
      <c r="O75" s="71" t="s">
        <v>99</v>
      </c>
    </row>
    <row r="76" spans="1:16384" ht="18.75" customHeight="1" outlineLevel="1">
      <c r="A76" s="158" t="s">
        <v>27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47"/>
      <c r="M76" s="111"/>
      <c r="N76" s="111"/>
      <c r="O76" s="71" t="s">
        <v>100</v>
      </c>
    </row>
    <row r="77" spans="1:16384" ht="21.75" customHeight="1" outlineLevel="1">
      <c r="A77" s="158" t="s">
        <v>28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47"/>
      <c r="M77" s="111"/>
      <c r="N77" s="111"/>
      <c r="O77" s="71" t="s">
        <v>101</v>
      </c>
    </row>
    <row r="78" spans="1:16384" ht="18.75" customHeight="1" outlineLevel="1">
      <c r="A78" s="158" t="s">
        <v>29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47"/>
      <c r="M78" s="111"/>
      <c r="N78" s="111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8" t="s">
        <v>1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65"/>
      <c r="M81" s="111"/>
      <c r="N81" s="111"/>
      <c r="O81" s="71" t="s">
        <v>103</v>
      </c>
    </row>
    <row r="82" spans="1:15" outlineLevel="1">
      <c r="A82" s="148" t="s">
        <v>2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65"/>
      <c r="M82" s="111"/>
      <c r="N82" s="111"/>
      <c r="O82" s="71" t="s">
        <v>104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416207.17</v>
      </c>
      <c r="K83" s="111"/>
      <c r="L83" s="165"/>
      <c r="M83" s="111"/>
      <c r="N83" s="111"/>
      <c r="O83" s="71" t="s">
        <v>105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65"/>
      <c r="M84" s="111"/>
      <c r="N84" s="111"/>
      <c r="O84" s="71" t="s">
        <v>106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65"/>
      <c r="M85" s="111"/>
      <c r="N85" s="111"/>
      <c r="O85" s="71" t="s">
        <v>107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399440.6</v>
      </c>
      <c r="K86" s="111"/>
      <c r="L86" s="165"/>
      <c r="M86" s="111"/>
      <c r="N86" s="111"/>
      <c r="O86" s="71" t="s">
        <v>108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65"/>
      <c r="M87" s="111"/>
      <c r="N87" s="111"/>
      <c r="O87" s="71" t="s">
        <v>109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65"/>
      <c r="M88" s="111"/>
      <c r="N88" s="111"/>
      <c r="O88" s="71" t="s">
        <v>110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65"/>
      <c r="M89" s="111"/>
      <c r="N89" s="111"/>
      <c r="O89" s="71" t="s">
        <v>111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65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49" t="s">
        <v>47</v>
      </c>
      <c r="B93" s="149"/>
      <c r="C93" s="149"/>
      <c r="D93" s="152" t="s">
        <v>48</v>
      </c>
      <c r="E93" s="152"/>
      <c r="F93" s="10" t="s">
        <v>49</v>
      </c>
      <c r="G93" s="149" t="s">
        <v>50</v>
      </c>
      <c r="H93" s="149"/>
      <c r="I93" s="149"/>
      <c r="J93" s="149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216308.86000000007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171126.14627892437</v>
      </c>
      <c r="L95" s="166"/>
      <c r="O95" s="1" t="s">
        <v>113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259499.48000000007</v>
      </c>
      <c r="L96" s="166"/>
      <c r="O96" s="1" t="s">
        <v>114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115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216308.86000000007</v>
      </c>
      <c r="L98" s="166"/>
      <c r="O98" s="1" t="s">
        <v>116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216308.86000000007</v>
      </c>
      <c r="L99" s="166"/>
      <c r="O99" s="1" t="s">
        <v>117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118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119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103633.85999999999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6909.6058690002301</v>
      </c>
      <c r="L103" s="166"/>
      <c r="O103" s="1" t="s">
        <v>122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92754.040000000008</v>
      </c>
      <c r="L104" s="166"/>
      <c r="O104" s="1" t="s">
        <v>123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10879.819999999978</v>
      </c>
      <c r="L105" s="166"/>
      <c r="O105" s="1" t="s">
        <v>124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103633.85999999999</v>
      </c>
      <c r="L106" s="166"/>
      <c r="O106" s="1" t="s">
        <v>125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103633.85999999999</v>
      </c>
      <c r="L107" s="166"/>
      <c r="O107" s="1" t="s">
        <v>126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127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128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126163.04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7579.8205407160822</v>
      </c>
      <c r="L111" s="166"/>
      <c r="O111" s="1" t="s">
        <v>130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115292.21999999997</v>
      </c>
      <c r="L112" s="166"/>
      <c r="O112" s="1" t="s">
        <v>131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10870.820000000022</v>
      </c>
      <c r="L113" s="166"/>
      <c r="O113" s="1" t="s">
        <v>132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126163.04</v>
      </c>
      <c r="L114" s="166"/>
      <c r="O114" s="1" t="s">
        <v>133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126163.04</v>
      </c>
      <c r="L115" s="166"/>
      <c r="O115" s="1" t="s">
        <v>134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135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136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90316.959999999992</v>
      </c>
      <c r="H118" s="151"/>
      <c r="I118" s="151"/>
      <c r="J118" s="151"/>
      <c r="L118" s="48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177.70361601656532</v>
      </c>
      <c r="L119" s="48"/>
      <c r="O119" s="1" t="s">
        <v>138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85643.55</v>
      </c>
      <c r="L120" s="48"/>
      <c r="O120" s="1" t="s">
        <v>139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4673.4099999999889</v>
      </c>
      <c r="L121" s="48"/>
      <c r="O121" s="1" t="s">
        <v>140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90316.959999999992</v>
      </c>
      <c r="L122" s="48"/>
      <c r="O122" s="1" t="s">
        <v>141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90316.959999999992</v>
      </c>
      <c r="L123" s="48"/>
      <c r="O123" s="1" t="s">
        <v>142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0">
        <f>VLOOKUP("гвс",АО,5,FALSE)</f>
        <v>0</v>
      </c>
      <c r="H126" s="151"/>
      <c r="I126" s="151"/>
      <c r="J126" s="151"/>
      <c r="L126" s="48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160</v>
      </c>
    </row>
    <row r="143" spans="1:15">
      <c r="A143" s="11" t="s">
        <v>43</v>
      </c>
    </row>
    <row r="144" spans="1:15" ht="18.75" customHeight="1" outlineLevel="1">
      <c r="A144" s="148" t="s">
        <v>44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170</v>
      </c>
    </row>
    <row r="145" spans="1:15" ht="18.75" customHeight="1" outlineLevel="1">
      <c r="A145" s="148" t="s">
        <v>45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11</v>
      </c>
      <c r="L145" s="15"/>
      <c r="O145" t="s">
        <v>171</v>
      </c>
    </row>
    <row r="146" spans="1:15" ht="30" customHeight="1" outlineLevel="1">
      <c r="A146" s="148" t="s">
        <v>173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172</v>
      </c>
    </row>
    <row r="149" spans="1:15" ht="52.5" customHeight="1">
      <c r="A149" s="144" t="s">
        <v>180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181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43" t="s">
        <v>183</v>
      </c>
      <c r="B154" s="143"/>
      <c r="C154" s="143"/>
      <c r="D154" s="143"/>
      <c r="E154" s="27">
        <f>ПТО!G1</f>
        <v>-477376.89</v>
      </c>
    </row>
    <row r="155" spans="1:15" ht="34.5" customHeight="1">
      <c r="A155" s="145" t="s">
        <v>186</v>
      </c>
      <c r="B155" s="145"/>
      <c r="C155" s="145"/>
      <c r="D155" s="145"/>
      <c r="E155" s="28">
        <f>J13</f>
        <v>126848.08800000002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8100</v>
      </c>
      <c r="G158" s="141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1</v>
      </c>
      <c r="J158" s="14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Замена светильников в подъезде.</v>
      </c>
      <c r="B159" s="140"/>
      <c r="C159" s="140"/>
      <c r="D159" s="140"/>
      <c r="E159" s="140"/>
      <c r="F159" s="141">
        <f t="shared" si="15"/>
        <v>39619.31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71</v>
      </c>
      <c r="N159" s="1" t="str">
        <v>Замена светильников в подъезде.</v>
      </c>
    </row>
    <row r="160" spans="1:15" ht="28.5" customHeight="1">
      <c r="A160" s="140" t="str">
        <f t="shared" si="14"/>
        <v>Замена кабель каналов в подъезде.</v>
      </c>
      <c r="B160" s="140"/>
      <c r="C160" s="140"/>
      <c r="D160" s="140"/>
      <c r="E160" s="140"/>
      <c r="F160" s="141">
        <f t="shared" si="15"/>
        <v>68028.14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71</v>
      </c>
      <c r="N160" s="1" t="str">
        <v>Замена кабель каналов в подъезде.</v>
      </c>
    </row>
    <row r="161" spans="1:14" ht="28.5" customHeight="1">
      <c r="A161" s="140" t="str">
        <f>IF(N161&gt;0,N161,0)</f>
        <v>Ремонт подъезда.</v>
      </c>
      <c r="B161" s="140"/>
      <c r="C161" s="140"/>
      <c r="D161" s="140"/>
      <c r="E161" s="140"/>
      <c r="F161" s="141">
        <f t="shared" si="15"/>
        <v>299524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71</v>
      </c>
      <c r="N161" s="1" t="str">
        <v>Ремонт подъезда.</v>
      </c>
    </row>
    <row r="162" spans="1:14" ht="28.5" customHeight="1">
      <c r="A162" s="140" t="str">
        <f t="shared" si="14"/>
        <v>Приобретение и установка автоматического выключателя в шахте лифта.</v>
      </c>
      <c r="B162" s="140"/>
      <c r="C162" s="140"/>
      <c r="D162" s="140"/>
      <c r="E162" s="140"/>
      <c r="F162" s="141">
        <f t="shared" si="15"/>
        <v>490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71</v>
      </c>
      <c r="N162" s="1" t="str">
        <v>Приобретение и установка автоматического выключателя в шахте лифта.</v>
      </c>
    </row>
    <row r="163" spans="1:14" ht="28.5" customHeight="1">
      <c r="A163" s="140" t="str">
        <f t="shared" si="14"/>
        <v>Приобретение и монтаж межтамбурной двери (1 подъезд).</v>
      </c>
      <c r="B163" s="140"/>
      <c r="C163" s="140"/>
      <c r="D163" s="140"/>
      <c r="E163" s="140"/>
      <c r="F163" s="141">
        <f t="shared" si="15"/>
        <v>62682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71</v>
      </c>
      <c r="N163" s="1" t="str">
        <v>Приобретение и монтаж межтамбурной двери (1 подъезд).</v>
      </c>
    </row>
    <row r="164" spans="1:14" ht="28.5" customHeight="1">
      <c r="A164" s="140" t="str">
        <f t="shared" ref="A164:A187" si="18">IF(N164&gt;0,N164,0)</f>
        <v>Замена канализационного выпуска.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58900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71</v>
      </c>
      <c r="N164" s="1" t="str">
        <v>Замена канализационного выпуска.</v>
      </c>
    </row>
    <row r="165" spans="1:14" ht="28.5" customHeight="1">
      <c r="A165" s="140" t="str">
        <f t="shared" si="18"/>
        <v>Механизированная уборка и вывоз снега с придомовой территории.</v>
      </c>
      <c r="B165" s="140"/>
      <c r="C165" s="140"/>
      <c r="D165" s="140"/>
      <c r="E165" s="140"/>
      <c r="F165" s="141">
        <f t="shared" si="19"/>
        <v>11603</v>
      </c>
      <c r="G165" s="141"/>
      <c r="H165" s="29" t="str">
        <f t="shared" si="16"/>
        <v>разово</v>
      </c>
      <c r="I165" s="142">
        <f t="shared" si="20"/>
        <v>1</v>
      </c>
      <c r="J165" s="142"/>
      <c r="M165" s="22" t="s">
        <v>71</v>
      </c>
      <c r="N165" s="1" t="str">
        <v>Механизированная уборка и вывоз снега с придомовой территории.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71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71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71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71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71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71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71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71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71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71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71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71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71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71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71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71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71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71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71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71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71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71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43" t="s">
        <v>185</v>
      </c>
      <c r="B190" s="143"/>
      <c r="C190" s="143"/>
      <c r="D190" s="143"/>
      <c r="E190" s="27">
        <f>SUM(F158:G187)</f>
        <v>548946.44999999995</v>
      </c>
    </row>
    <row r="191" spans="1:14" ht="51.75" customHeight="1">
      <c r="A191" s="143" t="s">
        <v>184</v>
      </c>
      <c r="B191" s="143"/>
      <c r="C191" s="143"/>
      <c r="D191" s="143"/>
      <c r="E191" s="27">
        <f>E190+E154-E155</f>
        <v>-55278.528000000078</v>
      </c>
    </row>
    <row r="192" spans="1:14">
      <c r="A192" s="106" t="s">
        <v>174</v>
      </c>
    </row>
    <row r="193" spans="1:10" ht="62.25" customHeight="1">
      <c r="A193" s="168" t="s">
        <v>182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0">
        <f>ПТО!G12</f>
        <v>1200</v>
      </c>
      <c r="I194" s="51" t="s">
        <v>74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50">
        <f>ПТО!G13</f>
        <v>8100</v>
      </c>
      <c r="I195" s="51" t="s">
        <v>74</v>
      </c>
    </row>
    <row r="196" spans="1:10" ht="36" customHeight="1">
      <c r="A196" s="167" t="str">
        <f>ПТО!F14</f>
        <v xml:space="preserve">  -  механизированная уборка и вывоз снега с придомовой территории</v>
      </c>
      <c r="B196" s="167"/>
      <c r="C196" s="167"/>
      <c r="D196" s="167"/>
      <c r="E196" s="167"/>
      <c r="F196" s="167"/>
      <c r="G196" s="167"/>
      <c r="H196" s="50">
        <f>ПТО!G14</f>
        <v>12000</v>
      </c>
      <c r="I196" s="51" t="s">
        <v>74</v>
      </c>
    </row>
    <row r="197" spans="1:10" ht="18.75" hidden="1" customHeight="1">
      <c r="A197" s="167">
        <f>ПТО!F15</f>
        <v>0</v>
      </c>
      <c r="B197" s="167"/>
      <c r="C197" s="167"/>
      <c r="D197" s="167"/>
      <c r="E197" s="167"/>
      <c r="F197" s="167"/>
      <c r="G197" s="167"/>
      <c r="H197" s="50">
        <f>ПТО!G15</f>
        <v>0</v>
      </c>
      <c r="I197" s="51" t="s">
        <v>74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0">
        <f>ПТО!G16</f>
        <v>0</v>
      </c>
      <c r="I198" s="53" t="s">
        <v>74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0">
        <f>ПТО!G17</f>
        <v>0</v>
      </c>
      <c r="I199" s="51" t="s">
        <v>74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0">
        <f>ПТО!G18</f>
        <v>0</v>
      </c>
      <c r="I200" s="51" t="s">
        <v>74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0">
        <f>ПТО!G19</f>
        <v>0</v>
      </c>
      <c r="I201" s="51" t="s">
        <v>74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0">
        <f>ПТО!G20</f>
        <v>0</v>
      </c>
      <c r="I202" s="51" t="s">
        <v>74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0">
        <f>ПТО!G21</f>
        <v>0</v>
      </c>
      <c r="I203" s="51" t="s">
        <v>74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0">
        <f>ПТО!G22</f>
        <v>0</v>
      </c>
      <c r="I204" s="51" t="s">
        <v>74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0">
        <f>ПТО!G23</f>
        <v>0</v>
      </c>
      <c r="I205" s="51" t="s">
        <v>74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0">
        <f>ПТО!G24</f>
        <v>0</v>
      </c>
      <c r="I206" s="51" t="s">
        <v>74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0">
        <f>ПТО!G25</f>
        <v>0</v>
      </c>
      <c r="I207" s="51" t="s">
        <v>74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0">
        <f>ПТО!G26</f>
        <v>0</v>
      </c>
      <c r="I208" s="51" t="s">
        <v>74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0">
        <f>ПТО!G27</f>
        <v>0</v>
      </c>
      <c r="I209" s="51" t="s">
        <v>74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0">
        <f>ПТО!G28</f>
        <v>0</v>
      </c>
      <c r="I210" s="51" t="s">
        <v>74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0">
        <f>ПТО!G29</f>
        <v>0</v>
      </c>
      <c r="I211" s="51" t="s">
        <v>74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0">
        <f>ПТО!G30</f>
        <v>0</v>
      </c>
      <c r="I212" s="51" t="s">
        <v>74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21300</v>
      </c>
      <c r="I214" s="57" t="s">
        <v>77</v>
      </c>
    </row>
  </sheetData>
  <sheetProtection algorithmName="SHA-512" hashValue="hDU3qOPJj/a3Ykqb1sRQIuHQSnsNjf3Jc/bKkszEs6v7qYE3Memr+WIN1KVr+GjjRKKYWnc+aA9cV7692Rzz2w==" saltValue="jx1QIA4uzNndAMAKqs4msA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183</v>
      </c>
      <c r="G1" s="103">
        <f>-477376.89</f>
        <v>-477376.89</v>
      </c>
    </row>
    <row r="2" spans="1:12" ht="18.75" customHeight="1">
      <c r="A2" s="137" t="s">
        <v>72</v>
      </c>
      <c r="B2" s="138" t="s">
        <v>178</v>
      </c>
      <c r="C2" s="138">
        <v>1</v>
      </c>
      <c r="D2" s="134">
        <v>8100</v>
      </c>
      <c r="E2" s="129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190</v>
      </c>
      <c r="B3" s="128" t="s">
        <v>188</v>
      </c>
      <c r="C3" s="43">
        <v>1</v>
      </c>
      <c r="D3" s="47">
        <v>39619.31</v>
      </c>
      <c r="E3" s="127" t="s">
        <v>191</v>
      </c>
      <c r="F3" s="30"/>
      <c r="G3" s="30"/>
      <c r="L3" s="33" t="str">
        <f t="shared" si="0"/>
        <v>ТР</v>
      </c>
    </row>
    <row r="4" spans="1:12" ht="18.75" customHeight="1">
      <c r="A4" s="123" t="s">
        <v>189</v>
      </c>
      <c r="B4" s="124" t="s">
        <v>188</v>
      </c>
      <c r="C4" s="125">
        <v>1</v>
      </c>
      <c r="D4" s="126">
        <v>68028.14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123" t="s">
        <v>187</v>
      </c>
      <c r="B5" s="124" t="s">
        <v>188</v>
      </c>
      <c r="C5" s="125">
        <v>1</v>
      </c>
      <c r="D5" s="126">
        <v>299524</v>
      </c>
      <c r="E5" s="127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23" t="s">
        <v>194</v>
      </c>
      <c r="B6" s="124" t="s">
        <v>188</v>
      </c>
      <c r="C6" s="125">
        <v>1</v>
      </c>
      <c r="D6" s="126">
        <v>490</v>
      </c>
      <c r="E6" s="127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23" t="s">
        <v>196</v>
      </c>
      <c r="B7" s="124" t="s">
        <v>188</v>
      </c>
      <c r="C7" s="125">
        <v>1</v>
      </c>
      <c r="D7" s="126">
        <v>62682</v>
      </c>
      <c r="E7" s="127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198</v>
      </c>
      <c r="B8" s="130" t="s">
        <v>188</v>
      </c>
      <c r="C8" s="43">
        <v>1</v>
      </c>
      <c r="D8" s="47">
        <v>58900</v>
      </c>
      <c r="E8" s="127" t="s">
        <v>199</v>
      </c>
      <c r="F8" s="46"/>
      <c r="G8" s="46"/>
      <c r="K8" s="44"/>
      <c r="L8" s="33" t="str">
        <f t="shared" si="0"/>
        <v>ТР</v>
      </c>
    </row>
    <row r="9" spans="1:12">
      <c r="A9" s="131" t="s">
        <v>200</v>
      </c>
      <c r="B9" s="132" t="s">
        <v>188</v>
      </c>
      <c r="C9" s="133">
        <v>1</v>
      </c>
      <c r="D9" s="134">
        <v>11603</v>
      </c>
      <c r="E9" s="135" t="s">
        <v>201</v>
      </c>
      <c r="F9" s="45"/>
      <c r="G9" s="45"/>
      <c r="K9" s="44"/>
      <c r="L9" s="33" t="str">
        <f t="shared" si="0"/>
        <v>ТР</v>
      </c>
    </row>
    <row r="10" spans="1:12">
      <c r="A10" s="99"/>
      <c r="B10" s="129"/>
      <c r="C10" s="129"/>
      <c r="D10" s="47"/>
      <c r="E10" s="129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75</v>
      </c>
      <c r="G13" s="115">
        <v>8100</v>
      </c>
      <c r="L13" s="33">
        <f t="shared" si="0"/>
        <v>0</v>
      </c>
    </row>
    <row r="14" spans="1:12" ht="31.5">
      <c r="A14" s="30"/>
      <c r="F14" s="114" t="s">
        <v>203</v>
      </c>
      <c r="G14" s="139">
        <v>12000</v>
      </c>
      <c r="L14" s="33">
        <f t="shared" si="0"/>
        <v>0</v>
      </c>
    </row>
    <row r="15" spans="1:12" ht="15.75">
      <c r="A15" s="30"/>
      <c r="F15" s="119"/>
      <c r="G15" s="120"/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70787.64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70787.64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67907.520000000004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67907.520000000004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43141.2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43141.2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31956.48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31956.48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10918.44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10918.44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48201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48201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106255.32</v>
      </c>
      <c r="C46" s="38" t="s">
        <v>67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106255.32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1"/>
      <c r="C47" s="122"/>
      <c r="D47" s="49"/>
      <c r="E47" s="121">
        <v>436.1</v>
      </c>
      <c r="F47" s="121">
        <v>301.5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BsZ/DM7C/GuVPVYs5hxtmlXAF/OoglHkacQfxgcTPwZdsPOm005b6X+I9UOV0enAIKGmma4VKbO0oY400Tr3Tw==" saltValue="sZfX1YzG6ct+FuOXxS4ku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36" sqref="B36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179</v>
      </c>
      <c r="F1" s="61">
        <v>2230.1</v>
      </c>
    </row>
    <row r="2" spans="1:10" ht="15.75" customHeight="1">
      <c r="A2" s="71" t="s">
        <v>82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3</v>
      </c>
      <c r="C4" s="84">
        <v>364168.71600000001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4</v>
      </c>
      <c r="C5" s="80">
        <f>SUM(C6:C8)</f>
        <v>507927.576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5</v>
      </c>
      <c r="C6" s="84">
        <f>(13.15+1.09)*12*F1</f>
        <v>381079.48799999995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6</v>
      </c>
      <c r="C7" s="84">
        <f>F1*4.74*12</f>
        <v>126848.08800000002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8</v>
      </c>
      <c r="C9" s="80">
        <f>SUM(C10:C14)</f>
        <v>495053.15000000014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9</v>
      </c>
      <c r="C10" s="84">
        <v>495053.15000000014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14</v>
      </c>
      <c r="C15" s="80">
        <f>C9</f>
        <v>495053.15000000014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17</v>
      </c>
      <c r="C18" s="80">
        <f>IF(C16&gt;0,0,IF(C4&gt;0,C4+C5-C9,C5-C2-C9))</f>
        <v>377043.14199999988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100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101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102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162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104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105</v>
      </c>
      <c r="B27" s="76" t="s">
        <v>3</v>
      </c>
      <c r="C27" s="87">
        <v>416207.17</v>
      </c>
      <c r="D27" s="82" t="s">
        <v>59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106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107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108</v>
      </c>
      <c r="B30" s="76" t="s">
        <v>17</v>
      </c>
      <c r="C30" s="87">
        <f>C27-16766.57</f>
        <v>399440.6</v>
      </c>
      <c r="D30" s="82" t="s">
        <v>65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109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110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111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112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163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216308.86000000007</v>
      </c>
      <c r="F37" s="95" t="s">
        <v>167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113</v>
      </c>
      <c r="B38" s="79" t="s">
        <v>36</v>
      </c>
      <c r="C38" s="91">
        <v>171126.14627892437</v>
      </c>
      <c r="D38" s="95" t="s">
        <v>165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114</v>
      </c>
      <c r="B39" s="79" t="s">
        <v>37</v>
      </c>
      <c r="C39" s="92">
        <v>259499.48000000007</v>
      </c>
      <c r="D39" s="95" t="s">
        <v>166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115</v>
      </c>
      <c r="B40" s="79" t="s">
        <v>38</v>
      </c>
      <c r="C40" s="94">
        <f>IF(E37-C39&lt;0,0,E37-C39)</f>
        <v>0</v>
      </c>
      <c r="D40" s="81" t="s">
        <v>58</v>
      </c>
      <c r="E40" s="136"/>
      <c r="G40" s="68"/>
      <c r="H40" s="68"/>
      <c r="L40" s="64"/>
      <c r="M40" s="169"/>
      <c r="N40" s="64"/>
      <c r="O40" s="64"/>
    </row>
    <row r="41" spans="1:15" ht="18.75" customHeight="1">
      <c r="A41" s="71" t="s">
        <v>116</v>
      </c>
      <c r="B41" s="79" t="s">
        <v>39</v>
      </c>
      <c r="C41" s="94">
        <f>E37</f>
        <v>216308.86000000007</v>
      </c>
      <c r="D41" s="81" t="s">
        <v>58</v>
      </c>
      <c r="E41" s="136"/>
      <c r="G41" s="68"/>
      <c r="H41" s="68"/>
      <c r="L41" s="64"/>
      <c r="M41" s="169"/>
      <c r="N41" s="64"/>
      <c r="O41" s="64"/>
    </row>
    <row r="42" spans="1:15" ht="18.75" customHeight="1">
      <c r="A42" s="71" t="s">
        <v>117</v>
      </c>
      <c r="B42" s="79" t="s">
        <v>40</v>
      </c>
      <c r="C42" s="94">
        <f>E37</f>
        <v>216308.86000000007</v>
      </c>
      <c r="D42" s="81" t="s">
        <v>58</v>
      </c>
      <c r="E42" s="136"/>
      <c r="G42" s="68"/>
      <c r="H42" s="68"/>
      <c r="L42" s="64"/>
      <c r="M42" s="169"/>
      <c r="N42" s="64"/>
      <c r="O42" s="64"/>
    </row>
    <row r="43" spans="1:15" ht="18.75" customHeight="1">
      <c r="A43" s="71" t="s">
        <v>118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119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121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103633.85999999999</v>
      </c>
      <c r="F45" s="95" t="s">
        <v>167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122</v>
      </c>
      <c r="B46" s="79" t="s">
        <v>36</v>
      </c>
      <c r="C46" s="91">
        <v>6909.6058690002301</v>
      </c>
      <c r="D46" s="95" t="s">
        <v>168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123</v>
      </c>
      <c r="B47" s="79" t="s">
        <v>37</v>
      </c>
      <c r="C47" s="92">
        <v>92754.040000000008</v>
      </c>
      <c r="D47" s="95" t="s">
        <v>166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124</v>
      </c>
      <c r="B48" s="79" t="s">
        <v>38</v>
      </c>
      <c r="C48" s="94">
        <f>IF(E45-C47&lt;0,0,E45-C47)</f>
        <v>10879.819999999978</v>
      </c>
      <c r="D48" s="81" t="s">
        <v>58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125</v>
      </c>
      <c r="B49" s="79" t="s">
        <v>39</v>
      </c>
      <c r="C49" s="94">
        <f>E45</f>
        <v>103633.85999999999</v>
      </c>
      <c r="D49" s="81" t="s">
        <v>58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126</v>
      </c>
      <c r="B50" s="79" t="s">
        <v>40</v>
      </c>
      <c r="C50" s="94">
        <f>E45</f>
        <v>103633.85999999999</v>
      </c>
      <c r="D50" s="81" t="s">
        <v>58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127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128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129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126163.04</v>
      </c>
      <c r="F53" s="95" t="s">
        <v>167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130</v>
      </c>
      <c r="B54" s="76" t="s">
        <v>36</v>
      </c>
      <c r="C54" s="100">
        <v>7579.8205407160822</v>
      </c>
      <c r="D54" s="95" t="s">
        <v>168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131</v>
      </c>
      <c r="B55" s="76" t="s">
        <v>37</v>
      </c>
      <c r="C55" s="87">
        <v>115292.21999999997</v>
      </c>
      <c r="D55" s="95" t="s">
        <v>166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132</v>
      </c>
      <c r="B56" s="76" t="s">
        <v>38</v>
      </c>
      <c r="C56" s="94">
        <f>IF(E53-C55&lt;0,0,E53-C55)</f>
        <v>10870.820000000022</v>
      </c>
      <c r="D56" s="81" t="s">
        <v>58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133</v>
      </c>
      <c r="B57" s="76" t="s">
        <v>39</v>
      </c>
      <c r="C57" s="94">
        <f>E53</f>
        <v>126163.04</v>
      </c>
      <c r="D57" s="81" t="s">
        <v>58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134</v>
      </c>
      <c r="B58" s="76" t="s">
        <v>40</v>
      </c>
      <c r="C58" s="94">
        <f>E53</f>
        <v>126163.04</v>
      </c>
      <c r="D58" s="81" t="s">
        <v>58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135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136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54</v>
      </c>
      <c r="E61" s="96">
        <v>90316.959999999992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36</v>
      </c>
      <c r="C62" s="100">
        <v>177.70361601656532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37</v>
      </c>
      <c r="C63" s="87">
        <v>85643.55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38</v>
      </c>
      <c r="C64" s="94">
        <f>IF(E61-C63&lt;0,0,E61-C63)</f>
        <v>4673.4099999999889</v>
      </c>
      <c r="D64" s="81" t="s">
        <v>58</v>
      </c>
      <c r="E64" s="70"/>
      <c r="G64" s="65"/>
      <c r="H64" s="65"/>
    </row>
    <row r="65" spans="1:8" ht="15.75" customHeight="1">
      <c r="A65" s="74" t="s">
        <v>141</v>
      </c>
      <c r="B65" s="76" t="s">
        <v>39</v>
      </c>
      <c r="C65" s="94">
        <f>E61</f>
        <v>90316.959999999992</v>
      </c>
      <c r="D65" s="81" t="s">
        <v>58</v>
      </c>
      <c r="E65" s="70"/>
      <c r="G65" s="65"/>
      <c r="H65" s="65"/>
    </row>
    <row r="66" spans="1:8" ht="15.75" customHeight="1">
      <c r="A66" s="74" t="s">
        <v>142</v>
      </c>
      <c r="B66" s="76" t="s">
        <v>40</v>
      </c>
      <c r="C66" s="94">
        <f>E61</f>
        <v>90316.959999999992</v>
      </c>
      <c r="D66" s="81" t="s">
        <v>58</v>
      </c>
      <c r="E66" s="70"/>
      <c r="G66" s="65"/>
      <c r="H66" s="65"/>
    </row>
    <row r="67" spans="1:8" ht="15.75" customHeight="1">
      <c r="A67" s="74" t="s">
        <v>143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144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54</v>
      </c>
      <c r="E69" s="96"/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36</v>
      </c>
      <c r="C70" s="100"/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37</v>
      </c>
      <c r="C71" s="87"/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149</v>
      </c>
      <c r="B73" s="76" t="s">
        <v>39</v>
      </c>
      <c r="C73" s="94">
        <f>E69</f>
        <v>0</v>
      </c>
      <c r="D73" s="81" t="s">
        <v>58</v>
      </c>
      <c r="E73" s="70"/>
      <c r="G73" s="65"/>
      <c r="H73" s="65"/>
    </row>
    <row r="74" spans="1:8" ht="15.75" customHeight="1">
      <c r="A74" s="74" t="s">
        <v>150</v>
      </c>
      <c r="B74" s="76" t="s">
        <v>40</v>
      </c>
      <c r="C74" s="94">
        <f>E69</f>
        <v>0</v>
      </c>
      <c r="D74" s="81" t="s">
        <v>58</v>
      </c>
      <c r="E74" s="70"/>
      <c r="G74" s="65"/>
      <c r="H74" s="65"/>
    </row>
    <row r="75" spans="1:8" ht="15.75" customHeight="1">
      <c r="A75" s="74" t="s">
        <v>151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152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/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36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37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157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158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159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160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7" sqref="D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44</v>
      </c>
      <c r="C2" s="107"/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45</v>
      </c>
      <c r="C3" s="107">
        <v>11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46</v>
      </c>
      <c r="C4" s="108"/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2023-03-30T06:06:57Z</dcterms:modified>
</cp:coreProperties>
</file>