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D5" i="2" l="1"/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6" i="1"/>
  <c r="G94" i="1"/>
  <c r="D94" i="1"/>
  <c r="K94" i="1"/>
  <c r="A121" i="1" l="1"/>
  <c r="D118" i="1"/>
  <c r="A112" i="1"/>
  <c r="F102" i="1"/>
  <c r="A97" i="1"/>
  <c r="F94" i="1"/>
  <c r="A111" i="1"/>
  <c r="A117" i="1"/>
  <c r="D110" i="1"/>
  <c r="A114" i="1"/>
  <c r="A110" i="1"/>
  <c r="A109" i="1"/>
  <c r="F110" i="1"/>
  <c r="A115" i="1"/>
  <c r="A113" i="1"/>
  <c r="F118" i="1"/>
  <c r="A122" i="1"/>
  <c r="A125" i="1"/>
  <c r="A118" i="1"/>
  <c r="A119" i="1"/>
  <c r="A99" i="1"/>
  <c r="F134" i="1"/>
  <c r="A141" i="1"/>
  <c r="A94" i="1"/>
  <c r="A95" i="1"/>
  <c r="A100" i="1"/>
  <c r="A123" i="1"/>
  <c r="A101" i="1"/>
  <c r="A137" i="1"/>
  <c r="A120" i="1"/>
  <c r="A105" i="1"/>
  <c r="A138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3" i="1" l="1"/>
  <c r="A173" i="1" s="1"/>
  <c r="I173" i="1" s="1"/>
  <c r="N186" i="1"/>
  <c r="A186" i="1" s="1"/>
  <c r="I186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66" i="1" l="1"/>
  <c r="F181" i="1"/>
  <c r="F177" i="1"/>
  <c r="H171" i="1"/>
  <c r="F187" i="1"/>
  <c r="F172" i="1"/>
  <c r="H172" i="1"/>
  <c r="H180" i="1"/>
  <c r="H166" i="1"/>
  <c r="F167" i="1"/>
  <c r="F186" i="1"/>
  <c r="H165" i="1"/>
  <c r="H170" i="1"/>
  <c r="H177" i="1"/>
  <c r="F165" i="1"/>
  <c r="F173" i="1"/>
  <c r="F175" i="1"/>
  <c r="H168" i="1"/>
  <c r="H175" i="1"/>
  <c r="H164" i="1"/>
  <c r="H176" i="1"/>
  <c r="H167" i="1"/>
  <c r="H179" i="1"/>
  <c r="F170" i="1"/>
  <c r="F171" i="1"/>
  <c r="F168" i="1"/>
  <c r="F180" i="1"/>
  <c r="H173" i="1"/>
  <c r="H178" i="1"/>
  <c r="H184" i="1"/>
  <c r="H182" i="1"/>
  <c r="F164" i="1"/>
  <c r="H181" i="1"/>
  <c r="H187" i="1"/>
  <c r="F179" i="1"/>
  <c r="F178" i="1"/>
  <c r="F176" i="1"/>
  <c r="H186" i="1"/>
  <c r="F185" i="1"/>
  <c r="F184" i="1"/>
  <c r="F182" i="1"/>
  <c r="H169" i="1"/>
  <c r="F169" i="1"/>
  <c r="H185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<sst xmlns="http://schemas.openxmlformats.org/spreadsheetml/2006/main" count="567" uniqueCount="213">
  <si>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</si>
  <si>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</si>
  <si>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</si>
  <si>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</si>
  <si>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</si>
  <si>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</si>
  <si>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</si>
  <si>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</si>
  <si>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</si>
  <si>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</si>
  <si>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</si>
  <si>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</si>
  <si>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</si>
  <si>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</si>
  <si>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</si>
  <si>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</si>
  <si>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</si>
  <si>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</si>
  <si>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</si>
  <si>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</si>
  <si>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</si>
  <si>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</si>
  <si>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</si>
  <si>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</si>
  <si>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</si>
  <si>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</si>
  <si>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</si>
  <si>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</si>
  <si>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</si>
  <si>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</si>
  <si>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</si>
  <si>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</si>
  <si>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</si>
  <si>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</si>
  <si>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</si>
  <si>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</si>
  <si>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</si>
  <si>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</si>
  <si>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</si>
  <si>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</si>
  <si>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</si>
  <si>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</si>
  <si>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</si>
  <si>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</si>
  <si>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</si>
  <si>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</si>
  <si>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</si>
  <si>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</si>
  <si>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</si>
  <si>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</si>
  <si>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</si>
  <si>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</si>
  <si>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</si>
  <si>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</si>
  <si>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</si>
  <si>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</si>
  <si>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</si>
  <si>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</si>
  <si>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</si>
  <si>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</si>
  <si>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</si>
  <si>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</si>
  <si>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</si>
  <si>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</si>
  <si>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</si>
  <si>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</si>
  <si>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</si>
  <si>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</si>
  <si>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</si>
  <si>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</si>
  <si>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</si>
  <si>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</si>
  <si>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</si>
  <si>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</si>
  <si>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</si>
  <si>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</si>
  <si>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</si>
  <si>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</si>
  <si>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</si>
  <si>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</si>
  <si>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</si>
  <si>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</si>
  <si>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</si>
  <si>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</si>
  <si>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</si>
  <si>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</si>
  <si>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</si>
  <si>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</si>
  <si>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</si>
  <si>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</si>
  <si>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</si>
  <si>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</si>
  <si>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</si>
  <si>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</si>
  <si>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</si>
  <si>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</si>
  <si>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</si>
  <si>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</si>
  <si>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</si>
  <si>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</si>
  <si>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</si>
  <si>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</si>
  <si>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</si>
  <si>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</si>
  <si>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</si>
  <si>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</si>
  <si>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</si>
  <si>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</si>
  <si>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</si>
  <si>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</si>
  <si>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</si>
  <si>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</si>
  <si>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</si>
  <si>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</si>
  <si>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</si>
  <si>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</si>
  <si>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</si>
  <si>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</si>
  <si>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</si>
  <si>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</si>
  <si>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</si>
  <si>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</si>
  <si>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</si>
  <si>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</si>
  <si>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</si>
  <si>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</si>
  <si>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</si>
  <si>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</si>
  <si>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</si>
  <si>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</si>
  <si>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</si>
  <si>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</si>
  <si>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</si>
  <si>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</si>
  <si>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</si>
  <si>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</si>
  <si>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</si>
  <si>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</si>
  <si>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</si>
  <si>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</si>
  <si>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</si>
  <si>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</si>
  <si>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</si>
  <si>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</si>
  <si>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</si>
  <si>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</si>
  <si>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</si>
  <si>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</si>
  <si>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</si>
  <si>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</si>
  <si>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</si>
  <si>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</si>
  <si>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</si>
  <si>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</si>
  <si>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</si>
  <si>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</si>
  <si>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</si>
  <si>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</si>
  <si>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</si>
  <si>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</si>
  <si>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</si>
  <si>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</si>
  <si>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</si>
  <si>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</si>
  <si>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</si>
  <si>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</si>
  <si>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</si>
  <si>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</si>
  <si>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</si>
  <si>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</si>
  <si>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</si>
  <si>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</si>
  <si>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</si>
  <si>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</si>
  <si>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</si>
  <si>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</si>
  <si>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</si>
  <si>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</si>
  <si>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10</t>
  </si>
  <si>
    <t>Отчет об исполнении договора управления многоквартирного дома 
Мамина-Сибиряка, 10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</si>
  <si>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</si>
  <si>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</si>
  <si>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</si>
  <si>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</si>
  <si>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</si>
  <si>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</si>
  <si>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</si>
  <si>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</si>
  <si>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</si>
  <si>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</si>
  <si>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</si>
  <si>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Приобретение и установка плафонов освещения кабины лифта (2 шт.).</t>
  </si>
  <si>
    <t>разово</t>
  </si>
  <si>
    <t>Приобретение и замена Wi-Fi роутера для диспетчерской связи пассажирского лифта.</t>
  </si>
  <si>
    <t>АВР 1/22 от 01.06.2022, Решение</t>
  </si>
  <si>
    <t>АВР 2/22 от 30.06.2022, Решение, счет №238 от 17.06.2022</t>
  </si>
  <si>
    <t>Ремонт теплового пункта (частичная замена аварийного трубопровода).</t>
  </si>
  <si>
    <t>АВР 3/22 от 01.08.2022, Решение</t>
  </si>
  <si>
    <t>Ремонт пассажирского лифта (замена замков дверей кабины и шахты).</t>
  </si>
  <si>
    <t>Ремонт пассажирского лифта (замена платы управления).</t>
  </si>
  <si>
    <t>АВР 4/22 от 01.08.2022, Решение</t>
  </si>
  <si>
    <t>АВР 5/22 от 20.07.2022,  Решение, счет №296 от 10.06.2022</t>
  </si>
  <si>
    <t>Приобретение и установка доводчика на тамбурной двери.</t>
  </si>
  <si>
    <t>Приобретение и укладка грязезащитного покрытия.</t>
  </si>
  <si>
    <t>Механизированная уборка и вывоз снега с придомовой территории.</t>
  </si>
  <si>
    <t>АВР 6/22 от 09.03.2022, Решение</t>
  </si>
  <si>
    <t>АВР 7/22 от 15.12.2022, Решение, счет№ 56345 от 02.12.2022</t>
  </si>
  <si>
    <t>АВР 8/22 от 15.12.2022, Решение, счет№ 56345 от 02.12.2022</t>
  </si>
  <si>
    <t>АВР 9/22 от 29.03.2022, Решение, счет №238 от 25.03.2022</t>
  </si>
  <si>
    <t>АВР 10/22 от 29.04.2022</t>
  </si>
  <si>
    <t>АВР 11/22 от 31.12.2022</t>
  </si>
  <si>
    <t xml:space="preserve">  -  механизированная уборка и вывоз снега с придомовой территории</t>
  </si>
  <si>
    <t>Приобретение и установка плафонов освещения кабины лифта (2 шт.) доплата.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</si>
</sst>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0" fillId="0" borderId="0" xfId="0" applyNumberFormat="1" applyBorder="1"/>
    <xf numFmtId="0" fontId="11" fillId="0" borderId="0" xfId="0" applyFont="1" applyBorder="1" applyAlignment="1">
      <alignment wrapText="1"/>
    </xf>
    <xf numFmtId="4" fontId="11" fillId="0" borderId="0" xfId="0" applyNumberFormat="1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20" fillId="3" borderId="0" xfId="7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8" fillId="0" borderId="0" xfId="11" applyNumberFormat="1" applyFont="1" applyFill="1" applyBorder="1" applyAlignment="1">
      <alignment horizontal="center" vertical="center"/>
    </xf>
    <xf numFmtId="4" fontId="1" fillId="0" borderId="0" xfId="11" applyNumberFormat="1" applyFill="1" applyBorder="1" applyAlignment="1"/>
    <xf numFmtId="0" fontId="1" fillId="0" borderId="0" xfId="11" applyFont="1" applyFill="1" applyBorder="1"/>
    <xf numFmtId="0" fontId="1" fillId="0" borderId="0" xfId="11" applyFont="1" applyFill="1" applyBorder="1" applyAlignment="1"/>
    <xf numFmtId="0" fontId="1" fillId="0" borderId="0" xfId="11" applyFont="1" applyFill="1" applyBorder="1" applyAlignment="1">
      <alignment horizontal="center"/>
    </xf>
    <xf numFmtId="0" fontId="0" fillId="0" borderId="0" xfId="0" applyFill="1" applyBorder="1"/>
    <xf numFmtId="4" fontId="10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5" applyFill="1" applyBorder="1" applyAlignment="1"/>
    <xf numFmtId="0" fontId="4" fillId="0" borderId="0" xfId="5" applyFill="1" applyBorder="1" applyAlignment="1">
      <alignment horizontal="center"/>
    </xf>
    <xf numFmtId="4" fontId="18" fillId="0" borderId="0" xfId="5" applyNumberFormat="1" applyFont="1" applyFill="1" applyBorder="1" applyAlignment="1"/>
    <xf numFmtId="0" fontId="4" fillId="0" borderId="0" xfId="5" applyNumberFormat="1" applyFill="1" applyBorder="1" applyAlignment="1">
      <alignment horizontal="center"/>
    </xf>
    <xf numFmtId="4" fontId="4" fillId="0" borderId="0" xfId="5" applyNumberFormat="1" applyFill="1" applyBorder="1" applyAlignment="1">
      <alignment vertical="center"/>
    </xf>
    <xf numFmtId="4" fontId="10" fillId="0" borderId="0" xfId="0" applyNumberFormat="1" applyFont="1" applyBorder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8"/>
    <cellStyle name="Обычный 2 5" xfId="7"/>
    <cellStyle name="Обычный 2 5 2" xfId="13"/>
    <cellStyle name="Обычный 3" xfId="2"/>
    <cellStyle name="Обычный 3 2" xfId="9"/>
    <cellStyle name="Обычный 4" xfId="4"/>
    <cellStyle name="Обычный 4 2" xfId="10"/>
    <cellStyle name="Обычный 5" xfId="5"/>
    <cellStyle name="Обычный 5 2" xfId="6"/>
    <cellStyle name="Обычный 5 3" xfId="11"/>
    <cellStyle name="Обычный 6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3" t="s">
        <v>178</v>
      </c>
      <c r="B2" s="163"/>
      <c r="C2" s="163"/>
      <c r="D2" s="163"/>
      <c r="E2" s="163"/>
      <c r="F2" s="163"/>
      <c r="G2" s="163"/>
      <c r="H2" s="163"/>
      <c r="I2" s="163"/>
      <c r="J2" s="16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44562</v>
      </c>
      <c r="K4" s="109"/>
      <c r="L4" s="109"/>
      <c r="M4" s="109"/>
      <c r="N4" s="109"/>
    </row>
    <row r="5" spans="1:18">
      <c r="A5" s="1" t="s">
        <v>1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09"/>
      <c r="L8" s="164"/>
      <c r="M8" s="109"/>
      <c r="N8" s="109"/>
      <c r="O8" s="70" t="s">
        <v>83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09"/>
      <c r="L9" s="164"/>
      <c r="M9" s="109"/>
      <c r="N9" s="109"/>
      <c r="O9" s="70" t="s">
        <v>84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308311.5400000001</v>
      </c>
      <c r="K10" s="109"/>
      <c r="L10" s="164"/>
      <c r="M10" s="109"/>
      <c r="N10" s="109"/>
      <c r="O10" s="70" t="s">
        <v>85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478376.64</v>
      </c>
      <c r="K11" s="109"/>
      <c r="L11" s="164"/>
      <c r="M11" s="109"/>
      <c r="N11" s="109"/>
      <c r="O11" s="70" t="s">
        <v>86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343938.24</v>
      </c>
      <c r="K12" s="109"/>
      <c r="L12" s="164"/>
      <c r="M12" s="109"/>
      <c r="N12" s="109"/>
      <c r="O12" s="70" t="s">
        <v>87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134438.40000000002</v>
      </c>
      <c r="K13" s="109"/>
      <c r="L13" s="164"/>
      <c r="M13" s="109"/>
      <c r="N13" s="109"/>
      <c r="O13" s="70" t="s">
        <v>88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09"/>
      <c r="L14" s="164"/>
      <c r="M14" s="109"/>
      <c r="N14" s="109"/>
      <c r="O14" s="70" t="s">
        <v>89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496785.79</v>
      </c>
      <c r="K15" s="109"/>
      <c r="L15" s="164"/>
      <c r="M15" s="109"/>
      <c r="N15" s="109"/>
      <c r="O15" s="70" t="s">
        <v>90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496785.79</v>
      </c>
      <c r="K16" s="109"/>
      <c r="L16" s="164"/>
      <c r="M16" s="109"/>
      <c r="N16" s="109"/>
      <c r="O16" s="70" t="s">
        <v>91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09"/>
      <c r="L17" s="164"/>
      <c r="M17" s="109"/>
      <c r="N17" s="109"/>
      <c r="O17" s="70" t="s">
        <v>92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09"/>
      <c r="L18" s="164"/>
      <c r="M18" s="109"/>
      <c r="N18" s="109"/>
      <c r="O18" s="70" t="s">
        <v>93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09"/>
      <c r="L19" s="164"/>
      <c r="M19" s="109"/>
      <c r="N19" s="109"/>
      <c r="O19" s="70" t="s">
        <v>94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09"/>
      <c r="L20" s="164"/>
      <c r="M20" s="109"/>
      <c r="N20" s="109"/>
      <c r="O20" s="70" t="s">
        <v>95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496785.79</v>
      </c>
      <c r="K21" s="109"/>
      <c r="L21" s="164"/>
      <c r="M21" s="109"/>
      <c r="N21" s="109"/>
      <c r="O21" s="70" t="s">
        <v>96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09"/>
      <c r="L22" s="164"/>
      <c r="M22" s="109"/>
      <c r="N22" s="109"/>
      <c r="O22" s="70" t="s">
        <v>97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09"/>
      <c r="L23" s="164"/>
      <c r="M23" s="109"/>
      <c r="N23" s="109"/>
      <c r="O23" s="70" t="s">
        <v>98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289902.39000000019</v>
      </c>
      <c r="K24" s="109"/>
      <c r="L24" s="164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09"/>
      <c r="L27" s="16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68115.48</v>
      </c>
      <c r="G28" s="142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09"/>
      <c r="L28" s="16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1"/>
      <c r="C29" s="141"/>
      <c r="D29" s="141"/>
      <c r="E29" s="141"/>
      <c r="F29" s="142">
        <f>VLOOKUP(A29,ПТО!$A$39:$D$53,2,FALSE)</f>
        <v>89401.56</v>
      </c>
      <c r="G29" s="142"/>
      <c r="H29" s="42" t="str">
        <f>VLOOKUP(A29,ПТО!$A$39:$D$53,3,FALSE)</f>
        <v>Ежемесячно</v>
      </c>
      <c r="I29" s="143">
        <f>VLOOKUP(A29,ПТО!$A$39:$D$53,4,FALSE)</f>
        <v>12</v>
      </c>
      <c r="J29" s="143"/>
      <c r="K29" s="109"/>
      <c r="L29" s="165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2">
        <f>VLOOKUP(A30,ПТО!$A$39:$D$53,2,FALSE)</f>
        <v>46605.36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09"/>
      <c r="L30" s="16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26887.68</v>
      </c>
      <c r="G31" s="142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09"/>
      <c r="L31" s="16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09"/>
      <c r="L32" s="16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8738.52</v>
      </c>
      <c r="G33" s="142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09"/>
      <c r="L33" s="16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50190.36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09"/>
      <c r="L34" s="16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1" t="str">
        <f>ПТО!A46</f>
        <v>Работы по содержанию лифта (лифтов)</v>
      </c>
      <c r="B35" s="141"/>
      <c r="C35" s="141"/>
      <c r="D35" s="141"/>
      <c r="E35" s="141"/>
      <c r="F35" s="142">
        <f>VLOOKUP(A35,ПТО!$A$39:$D$53,2,FALSE)</f>
        <v>53999.4</v>
      </c>
      <c r="G35" s="142"/>
      <c r="H35" s="42" t="str">
        <f>VLOOKUP(A35,ПТО!$A$39:$D$53,3,FALSE)</f>
        <v>Ежемесячно</v>
      </c>
      <c r="I35" s="143">
        <f>VLOOKUP(A35,ПТО!$A$39:$D$53,4,FALSE)</f>
        <v>12</v>
      </c>
      <c r="J35" s="143"/>
      <c r="K35" s="109"/>
      <c r="L35" s="165"/>
      <c r="M35" s="116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09"/>
      <c r="L36" s="165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09"/>
      <c r="L37" s="165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09"/>
      <c r="L38" s="165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09"/>
      <c r="L39" s="165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09"/>
      <c r="L40" s="165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09"/>
      <c r="L41" s="165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09"/>
      <c r="L42" s="165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1" t="str">
        <f>ПТО!A2</f>
        <v>Техническое освидетельствование лифта.</v>
      </c>
      <c r="B43" s="141"/>
      <c r="C43" s="141"/>
      <c r="D43" s="141"/>
      <c r="E43" s="141"/>
      <c r="F43" s="142">
        <f>VLOOKUP(A43,ПТО!$A$2:$D$31,4,FALSE)</f>
        <v>8100</v>
      </c>
      <c r="G43" s="142"/>
      <c r="H43" s="19" t="str">
        <f>VLOOKUP(A43,ПТО!$A$2:$D$31,2,FALSE)</f>
        <v>ежегодно</v>
      </c>
      <c r="I43" s="143">
        <f>VLOOKUP(A43,ПТО!$A$2:$D$31,3,FALSE)</f>
        <v>1</v>
      </c>
      <c r="J43" s="143"/>
      <c r="K43" s="109"/>
      <c r="L43" s="165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1" t="str">
        <f>ПТО!A3</f>
        <v>Техническое обслуживание охранной сигнализации.</v>
      </c>
      <c r="B44" s="141"/>
      <c r="C44" s="141"/>
      <c r="D44" s="141"/>
      <c r="E44" s="141"/>
      <c r="F44" s="142">
        <f>VLOOKUP(A44,ПТО!$A$2:$D$31,4,FALSE)</f>
        <v>21000</v>
      </c>
      <c r="G44" s="142"/>
      <c r="H44" s="25" t="str">
        <f>VLOOKUP(A44,ПТО!$A$2:$D$31,2,FALSE)</f>
        <v>ежемесячно</v>
      </c>
      <c r="I44" s="143">
        <f>VLOOKUP(A44,ПТО!$A$2:$D$31,3,FALSE)</f>
        <v>12</v>
      </c>
      <c r="J44" s="143"/>
      <c r="K44" s="109"/>
      <c r="L44" s="165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41" t="str">
        <f>ПТО!A4</f>
        <v>Приобретение и замена Wi-Fi роутера для диспетчерской связи пассажирского лифта.</v>
      </c>
      <c r="B45" s="141"/>
      <c r="C45" s="141"/>
      <c r="D45" s="141"/>
      <c r="E45" s="141"/>
      <c r="F45" s="142">
        <f>VLOOKUP(A45,ПТО!$A$2:$D$31,4,FALSE)</f>
        <v>1499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09"/>
      <c r="L45" s="165"/>
      <c r="M45" s="116"/>
      <c r="N45" s="109"/>
      <c r="O45" s="23" t="str">
        <f t="shared" si="1"/>
        <v>Приобретение и замена Wi-Fi роутера для диспетчерской связи пассажирского лифта.</v>
      </c>
      <c r="R45" s="22" t="s">
        <v>72</v>
      </c>
    </row>
    <row r="46" spans="1:18" ht="51" customHeight="1" outlineLevel="1">
      <c r="A46" s="141" t="str">
        <f>ПТО!A5</f>
        <v>Приобретение и установка плафонов освещения кабины лифта (2 шт.).</v>
      </c>
      <c r="B46" s="141"/>
      <c r="C46" s="141"/>
      <c r="D46" s="141"/>
      <c r="E46" s="141"/>
      <c r="F46" s="142">
        <f>VLOOKUP(A46,ПТО!$A$2:$D$31,4,FALSE)</f>
        <v>5348</v>
      </c>
      <c r="G46" s="142"/>
      <c r="H46" s="25" t="str">
        <f>VLOOKUP(A46,ПТО!$A$2:$D$31,2,FALSE)</f>
        <v>разово</v>
      </c>
      <c r="I46" s="143">
        <f>VLOOKUP(A46,ПТО!$A$2:$D$31,3,FALSE)</f>
        <v>1</v>
      </c>
      <c r="J46" s="143"/>
      <c r="K46" s="109"/>
      <c r="L46" s="165"/>
      <c r="M46" s="116"/>
      <c r="N46" s="109"/>
      <c r="O46" s="23" t="str">
        <f t="shared" si="1"/>
        <v>Приобретение и установка плафонов освещения кабины лифта (2 шт.).</v>
      </c>
      <c r="R46" s="22" t="s">
        <v>72</v>
      </c>
    </row>
    <row r="47" spans="1:18" ht="51" customHeight="1" outlineLevel="1">
      <c r="A47" s="141" t="str">
        <f>ПТО!A6</f>
        <v>Ремонт теплового пункта (частичная замена аварийного трубопровода).</v>
      </c>
      <c r="B47" s="141"/>
      <c r="C47" s="141"/>
      <c r="D47" s="141"/>
      <c r="E47" s="141"/>
      <c r="F47" s="142">
        <f>VLOOKUP(A47,ПТО!$A$2:$D$31,4,FALSE)</f>
        <v>3366.9</v>
      </c>
      <c r="G47" s="142"/>
      <c r="H47" s="25" t="str">
        <f>VLOOKUP(A47,ПТО!$A$2:$D$31,2,FALSE)</f>
        <v>разово</v>
      </c>
      <c r="I47" s="143">
        <f>VLOOKUP(A47,ПТО!$A$2:$D$31,3,FALSE)</f>
        <v>1</v>
      </c>
      <c r="J47" s="143"/>
      <c r="K47" s="109"/>
      <c r="L47" s="165"/>
      <c r="M47" s="116"/>
      <c r="N47" s="109"/>
      <c r="O47" s="23" t="str">
        <f t="shared" si="1"/>
        <v>Ремонт теплового пункта (частичная замена аварийного трубопровода).</v>
      </c>
      <c r="R47" s="22" t="s">
        <v>72</v>
      </c>
    </row>
    <row r="48" spans="1:18" ht="51" customHeight="1" outlineLevel="1">
      <c r="A48" s="141" t="str">
        <f>ПТО!A7</f>
        <v>Ремонт пассажирского лифта (замена платы управления).</v>
      </c>
      <c r="B48" s="141"/>
      <c r="C48" s="141"/>
      <c r="D48" s="141"/>
      <c r="E48" s="141"/>
      <c r="F48" s="142">
        <f>VLOOKUP(A48,ПТО!$A$2:$D$31,4,FALSE)</f>
        <v>33950</v>
      </c>
      <c r="G48" s="142"/>
      <c r="H48" s="25" t="str">
        <f>VLOOKUP(A48,ПТО!$A$2:$D$31,2,FALSE)</f>
        <v>разово</v>
      </c>
      <c r="I48" s="143">
        <f>VLOOKUP(A48,ПТО!$A$2:$D$31,3,FALSE)</f>
        <v>1</v>
      </c>
      <c r="J48" s="143"/>
      <c r="K48" s="109"/>
      <c r="L48" s="165"/>
      <c r="M48" s="116"/>
      <c r="N48" s="109"/>
      <c r="O48" s="23" t="str">
        <f t="shared" si="1"/>
        <v>Ремонт пассажирского лифта (замена платы управления).</v>
      </c>
      <c r="R48" s="22" t="s">
        <v>72</v>
      </c>
    </row>
    <row r="49" spans="1:18" ht="51" customHeight="1" outlineLevel="1">
      <c r="A49" s="141" t="str">
        <f>ПТО!A8</f>
        <v>Ремонт пассажирского лифта (замена замков дверей кабины и шахты).</v>
      </c>
      <c r="B49" s="141"/>
      <c r="C49" s="141"/>
      <c r="D49" s="141"/>
      <c r="E49" s="141"/>
      <c r="F49" s="142">
        <f>VLOOKUP(A49,ПТО!$A$2:$D$31,4,FALSE)</f>
        <v>9974</v>
      </c>
      <c r="G49" s="142"/>
      <c r="H49" s="25" t="str">
        <f>VLOOKUP(A49,ПТО!$A$2:$D$31,2,FALSE)</f>
        <v>разово</v>
      </c>
      <c r="I49" s="143">
        <f>VLOOKUP(A49,ПТО!$A$2:$D$31,3,FALSE)</f>
        <v>1</v>
      </c>
      <c r="J49" s="143"/>
      <c r="K49" s="109"/>
      <c r="L49" s="165"/>
      <c r="M49" s="116"/>
      <c r="N49" s="109"/>
      <c r="O49" s="23" t="str">
        <f t="shared" si="1"/>
        <v>Ремонт пассажирского лифта (замена замков дверей кабины и шахты).</v>
      </c>
      <c r="R49" s="22" t="s">
        <v>72</v>
      </c>
    </row>
    <row r="50" spans="1:18" ht="51" customHeight="1" outlineLevel="1">
      <c r="A50" s="141" t="str">
        <f>ПТО!A9</f>
        <v>Механизированная уборка и вывоз снега с придомовой территории.</v>
      </c>
      <c r="B50" s="141"/>
      <c r="C50" s="141"/>
      <c r="D50" s="141"/>
      <c r="E50" s="141"/>
      <c r="F50" s="142">
        <f>VLOOKUP(A50,ПТО!$A$2:$D$31,4,FALSE)</f>
        <v>9917</v>
      </c>
      <c r="G50" s="142"/>
      <c r="H50" s="25" t="str">
        <f>VLOOKUP(A50,ПТО!$A$2:$D$31,2,FALSE)</f>
        <v>разово</v>
      </c>
      <c r="I50" s="143">
        <f>VLOOKUP(A50,ПТО!$A$2:$D$31,3,FALSE)</f>
        <v>1</v>
      </c>
      <c r="J50" s="143"/>
      <c r="K50" s="109"/>
      <c r="L50" s="165"/>
      <c r="M50" s="116"/>
      <c r="N50" s="109"/>
      <c r="O50" s="23" t="str">
        <f t="shared" si="1"/>
        <v>Механизированная уборка и вывоз снега с придомовой территории.</v>
      </c>
      <c r="R50" s="22" t="s">
        <v>72</v>
      </c>
    </row>
    <row r="51" spans="1:18" ht="51" customHeight="1" outlineLevel="1">
      <c r="A51" s="141" t="str">
        <f>ПТО!A10</f>
        <v>Приобретение и установка доводчика на тамбурной двери.</v>
      </c>
      <c r="B51" s="141"/>
      <c r="C51" s="141"/>
      <c r="D51" s="141"/>
      <c r="E51" s="141"/>
      <c r="F51" s="142">
        <f>VLOOKUP(A51,ПТО!$A$2:$D$31,4,FALSE)</f>
        <v>1500</v>
      </c>
      <c r="G51" s="142"/>
      <c r="H51" s="25" t="str">
        <f>VLOOKUP(A51,ПТО!$A$2:$D$31,2,FALSE)</f>
        <v>разово</v>
      </c>
      <c r="I51" s="143">
        <f>VLOOKUP(A51,ПТО!$A$2:$D$31,3,FALSE)</f>
        <v>1</v>
      </c>
      <c r="J51" s="143"/>
      <c r="K51" s="109"/>
      <c r="L51" s="165"/>
      <c r="M51" s="116"/>
      <c r="N51" s="109"/>
      <c r="O51" s="23" t="str">
        <f t="shared" si="1"/>
        <v>Приобретение и установка доводчика на тамбурной двери.</v>
      </c>
      <c r="R51" s="22" t="s">
        <v>72</v>
      </c>
    </row>
    <row r="52" spans="1:18" ht="51" customHeight="1" outlineLevel="1">
      <c r="A52" s="141" t="str">
        <f>ПТО!A11</f>
        <v>Приобретение и укладка грязезащитного покрытия.</v>
      </c>
      <c r="B52" s="141"/>
      <c r="C52" s="141"/>
      <c r="D52" s="141"/>
      <c r="E52" s="141"/>
      <c r="F52" s="142">
        <f>VLOOKUP(A52,ПТО!$A$2:$D$31,4,FALSE)</f>
        <v>3582.5</v>
      </c>
      <c r="G52" s="142"/>
      <c r="H52" s="25" t="str">
        <f>VLOOKUP(A52,ПТО!$A$2:$D$31,2,FALSE)</f>
        <v>разово</v>
      </c>
      <c r="I52" s="143">
        <f>VLOOKUP(A52,ПТО!$A$2:$D$31,3,FALSE)</f>
        <v>1</v>
      </c>
      <c r="J52" s="143"/>
      <c r="K52" s="109"/>
      <c r="L52" s="165"/>
      <c r="M52" s="116"/>
      <c r="N52" s="109"/>
      <c r="O52" s="23" t="str">
        <f t="shared" si="1"/>
        <v>Приобретение и укладка грязезащитного покрытия.</v>
      </c>
      <c r="R52" s="22" t="s">
        <v>72</v>
      </c>
    </row>
    <row r="53" spans="1:18" ht="51" customHeight="1" outlineLevel="1">
      <c r="A53" s="141" t="str">
        <f>ПТО!A12</f>
        <v>Приобретение и установка плафонов освещения кабины лифта (2 шт.) доплата.</v>
      </c>
      <c r="B53" s="141"/>
      <c r="C53" s="141"/>
      <c r="D53" s="141"/>
      <c r="E53" s="141"/>
      <c r="F53" s="142">
        <f>VLOOKUP(A53,ПТО!$A$2:$D$31,4,FALSE)</f>
        <v>7700</v>
      </c>
      <c r="G53" s="142"/>
      <c r="H53" s="25" t="str">
        <f>VLOOKUP(A53,ПТО!$A$2:$D$31,2,FALSE)</f>
        <v>разово</v>
      </c>
      <c r="I53" s="143">
        <f>VLOOKUP(A53,ПТО!$A$2:$D$31,3,FALSE)</f>
        <v>1</v>
      </c>
      <c r="J53" s="143"/>
      <c r="K53" s="109"/>
      <c r="L53" s="165"/>
      <c r="M53" s="116"/>
      <c r="N53" s="109"/>
      <c r="O53" s="23" t="str">
        <f t="shared" si="1"/>
        <v>Приобретение и установка плафонов освещения кабины лифта (2 шт.) доплата.</v>
      </c>
      <c r="R53" s="22" t="s">
        <v>72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09"/>
      <c r="L54" s="165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09"/>
      <c r="L55" s="165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09"/>
      <c r="L56" s="165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09"/>
      <c r="L57" s="165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09"/>
      <c r="L58" s="165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09"/>
      <c r="L59" s="165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09"/>
      <c r="L60" s="165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09"/>
      <c r="L61" s="165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09"/>
      <c r="L62" s="165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09"/>
      <c r="L63" s="165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09"/>
      <c r="L64" s="165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09"/>
      <c r="L65" s="165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09"/>
      <c r="L66" s="165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09"/>
      <c r="L67" s="165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09"/>
      <c r="L68" s="165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09"/>
      <c r="L69" s="165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09"/>
      <c r="L70" s="165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6"/>
      <c r="L71" s="165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09"/>
      <c r="L72" s="165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09"/>
      <c r="L75" s="148"/>
      <c r="M75" s="109"/>
      <c r="N75" s="109"/>
      <c r="O75" s="70" t="s">
        <v>100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09"/>
      <c r="L76" s="148"/>
      <c r="M76" s="109"/>
      <c r="N76" s="109"/>
      <c r="O76" s="70" t="s">
        <v>101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09"/>
      <c r="L77" s="148"/>
      <c r="M77" s="109"/>
      <c r="N77" s="109"/>
      <c r="O77" s="70" t="s">
        <v>102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7">
        <f>VLOOKUP(O78,АО,3,FALSE)</f>
        <v>0</v>
      </c>
      <c r="K78" s="109"/>
      <c r="L78" s="148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7">
        <f t="shared" ref="J81:J90" si="2">VLOOKUP(O81,АО,3,FALSE)</f>
        <v>0</v>
      </c>
      <c r="K81" s="109"/>
      <c r="L81" s="166"/>
      <c r="M81" s="109"/>
      <c r="N81" s="109"/>
      <c r="O81" s="70" t="s">
        <v>104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7">
        <f t="shared" si="2"/>
        <v>0</v>
      </c>
      <c r="K82" s="109"/>
      <c r="L82" s="166"/>
      <c r="M82" s="109"/>
      <c r="N82" s="109"/>
      <c r="O82" s="70" t="s">
        <v>105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7">
        <f t="shared" si="2"/>
        <v>87346.6</v>
      </c>
      <c r="K83" s="109"/>
      <c r="L83" s="166"/>
      <c r="M83" s="109"/>
      <c r="N83" s="109"/>
      <c r="O83" s="70" t="s">
        <v>106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7">
        <f t="shared" si="2"/>
        <v>0</v>
      </c>
      <c r="K84" s="109"/>
      <c r="L84" s="166"/>
      <c r="M84" s="109"/>
      <c r="N84" s="109"/>
      <c r="O84" s="70" t="s">
        <v>107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7">
        <f t="shared" si="2"/>
        <v>0</v>
      </c>
      <c r="K85" s="109"/>
      <c r="L85" s="166"/>
      <c r="M85" s="109"/>
      <c r="N85" s="109"/>
      <c r="O85" s="70" t="s">
        <v>108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7">
        <f t="shared" si="2"/>
        <v>126262.42000000001</v>
      </c>
      <c r="K86" s="109"/>
      <c r="L86" s="166"/>
      <c r="M86" s="109"/>
      <c r="N86" s="109"/>
      <c r="O86" s="70" t="s">
        <v>109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09"/>
      <c r="L87" s="166"/>
      <c r="M87" s="109"/>
      <c r="N87" s="109"/>
      <c r="O87" s="70" t="s">
        <v>110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09"/>
      <c r="L88" s="166"/>
      <c r="M88" s="109"/>
      <c r="N88" s="109"/>
      <c r="O88" s="70" t="s">
        <v>111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09"/>
      <c r="L89" s="166"/>
      <c r="M89" s="109"/>
      <c r="N89" s="109"/>
      <c r="O89" s="70" t="s">
        <v>112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7">
        <f t="shared" si="2"/>
        <v>0</v>
      </c>
      <c r="K90" s="109"/>
      <c r="L90" s="166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0" t="s">
        <v>48</v>
      </c>
      <c r="B93" s="150"/>
      <c r="C93" s="150"/>
      <c r="D93" s="153" t="s">
        <v>49</v>
      </c>
      <c r="E93" s="153"/>
      <c r="F93" s="10" t="s">
        <v>50</v>
      </c>
      <c r="G93" s="150" t="s">
        <v>51</v>
      </c>
      <c r="H93" s="150"/>
      <c r="I93" s="150"/>
      <c r="J93" s="150"/>
      <c r="K93" s="109"/>
      <c r="L93" s="109"/>
      <c r="M93" s="109"/>
      <c r="N93" s="109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1">
        <f>VLOOKUP("эл",АО,5,FALSE)</f>
        <v>159030.46999999994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125812.09790494054</v>
      </c>
      <c r="L95" s="167"/>
      <c r="O95" s="1" t="s">
        <v>114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135866.28000000003</v>
      </c>
      <c r="L96" s="167"/>
      <c r="O96" s="1" t="s">
        <v>115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23164.189999999915</v>
      </c>
      <c r="L97" s="167"/>
      <c r="O97" s="1" t="s">
        <v>116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159030.46999999994</v>
      </c>
      <c r="L98" s="167"/>
      <c r="O98" s="1" t="s">
        <v>117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159030.46999999994</v>
      </c>
      <c r="L99" s="167"/>
      <c r="O99" s="1" t="s">
        <v>118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119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120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99205.609999999986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6614.3600662346053</v>
      </c>
      <c r="L103" s="167"/>
      <c r="O103" s="1" t="s">
        <v>123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97657.610000000015</v>
      </c>
      <c r="L104" s="167"/>
      <c r="O104" s="1" t="s">
        <v>124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1547.9999999999709</v>
      </c>
      <c r="L105" s="167"/>
      <c r="O105" s="1" t="s">
        <v>125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99205.609999999986</v>
      </c>
      <c r="L106" s="167"/>
      <c r="O106" s="1" t="s">
        <v>126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99205.609999999986</v>
      </c>
      <c r="L107" s="167"/>
      <c r="O107" s="1" t="s">
        <v>127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128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129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120616.24000000003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7246.5712105220446</v>
      </c>
      <c r="L111" s="167"/>
      <c r="O111" s="1" t="s">
        <v>131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113457.59999999998</v>
      </c>
      <c r="L112" s="167"/>
      <c r="O112" s="1" t="s">
        <v>132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7158.6400000000576</v>
      </c>
      <c r="L113" s="167"/>
      <c r="O113" s="1" t="s">
        <v>133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120616.24000000003</v>
      </c>
      <c r="L114" s="167"/>
      <c r="O114" s="1" t="s">
        <v>134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120616.24000000003</v>
      </c>
      <c r="L115" s="167"/>
      <c r="O115" s="1" t="s">
        <v>135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136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137</v>
      </c>
    </row>
    <row r="118" spans="1:15" ht="32.25" customHeight="1" outlineLevel="1">
      <c r="A118" s="154" t="str">
        <f>IF(VLOOKUP("тко",АО,3,FALSE)&gt;0,"Обращение с ТКО",0)</f>
        <v>Обращение с ТКО</v>
      </c>
      <c r="B118" s="154"/>
      <c r="C118" s="154"/>
      <c r="D118" s="152" t="str">
        <f>IF(VLOOKUP("тко",АО,3,FALSE)&gt;0,VLOOKUP("тко",АО,3,FALSE),0)</f>
        <v>Предоставляется</v>
      </c>
      <c r="E118" s="152"/>
      <c r="F118" s="13" t="str">
        <f>IF(VLOOKUP("тко",АО,3,FALSE)&gt;0,VLOOKUP("тко",АО,4,FALSE),0)</f>
        <v>куб.м.</v>
      </c>
      <c r="G118" s="151">
        <f>VLOOKUP("тко",АО,5,FALSE)</f>
        <v>76339.94</v>
      </c>
      <c r="H118" s="152"/>
      <c r="I118" s="152"/>
      <c r="J118" s="152"/>
      <c r="L118" s="47"/>
    </row>
    <row r="119" spans="1:15" ht="32.25" customHeight="1" outlineLevel="2">
      <c r="A119" s="149" t="str">
        <f t="shared" ref="A119:A125" si="8">IF(VLOOKUP("тко",АО,3,FALSE)&gt;0,VLOOKUP(O119,АО,2,FALSE),0)</f>
        <v>Общий объем потребления, нат. показ.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150.20305582127253</v>
      </c>
      <c r="L119" s="47"/>
      <c r="O119" s="1" t="s">
        <v>139</v>
      </c>
    </row>
    <row r="120" spans="1:15" ht="32.25" customHeight="1" outlineLevel="2">
      <c r="A120" s="149" t="str">
        <f t="shared" si="8"/>
        <v>Оплачено потребителями, руб.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69294.950000000012</v>
      </c>
      <c r="L120" s="47"/>
      <c r="O120" s="1" t="s">
        <v>140</v>
      </c>
    </row>
    <row r="121" spans="1:15" ht="32.25" customHeight="1" outlineLevel="2">
      <c r="A121" s="149" t="str">
        <f t="shared" si="8"/>
        <v>Задолженность потребителей, руб.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7044.9899999999907</v>
      </c>
      <c r="L121" s="47"/>
      <c r="O121" s="1" t="s">
        <v>141</v>
      </c>
    </row>
    <row r="122" spans="1:15" ht="32.25" customHeight="1" outlineLevel="2">
      <c r="A122" s="149" t="str">
        <f t="shared" si="8"/>
        <v>Начислено поставщиком (поставщиками) коммунального ресурса, руб.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76339.94</v>
      </c>
      <c r="L122" s="47"/>
      <c r="O122" s="1" t="s">
        <v>142</v>
      </c>
    </row>
    <row r="123" spans="1:15" ht="32.25" customHeight="1" outlineLevel="2">
      <c r="A123" s="149" t="str">
        <f t="shared" si="8"/>
        <v>Оплачено поставщику (поставщикам) коммунального ресурса, руб.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76339.94</v>
      </c>
      <c r="L123" s="47"/>
      <c r="O123" s="1" t="s">
        <v>143</v>
      </c>
    </row>
    <row r="124" spans="1:15" ht="32.25" customHeight="1" outlineLevel="2">
      <c r="A124" s="149" t="str">
        <f t="shared" si="8"/>
        <v>Задолженность перед поставщиком (поставщиками) коммунального ресурса, руб.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49" t="str">
        <f t="shared" si="8"/>
        <v>Размер пени и штрафов, уплаченных поставщику (поставщикам) коммунального ресурса, руб.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1">
        <f>VLOOKUP("гвс",АО,5,FALSE)</f>
        <v>0</v>
      </c>
      <c r="H126" s="152"/>
      <c r="I126" s="152"/>
      <c r="J126" s="152"/>
      <c r="L126" s="47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2"/>
      <c r="I134" s="152"/>
      <c r="J134" s="152"/>
      <c r="L134" s="47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171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17</v>
      </c>
      <c r="L145" s="15"/>
      <c r="O145" t="s">
        <v>172</v>
      </c>
    </row>
    <row r="146" spans="1:15" ht="30" customHeight="1" outlineLevel="1">
      <c r="A146" s="149" t="s">
        <v>174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0</v>
      </c>
      <c r="O146" t="s">
        <v>173</v>
      </c>
    </row>
    <row r="149" spans="1:15" ht="52.5" customHeight="1">
      <c r="A149" s="145" t="s">
        <v>179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44" t="s">
        <v>186</v>
      </c>
      <c r="B154" s="144"/>
      <c r="C154" s="144"/>
      <c r="D154" s="144"/>
      <c r="E154" s="27">
        <f>ПТО!G1</f>
        <v>16753.009999999998</v>
      </c>
    </row>
    <row r="155" spans="1:15" ht="34.5" customHeight="1">
      <c r="A155" s="146" t="s">
        <v>190</v>
      </c>
      <c r="B155" s="146"/>
      <c r="C155" s="146"/>
      <c r="D155" s="146"/>
      <c r="E155" s="28">
        <f>J13</f>
        <v>134438.40000000002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41" t="str">
        <f t="shared" ref="A158:A163" si="14">IF(N158&gt;0,N158,0)</f>
        <v>Техническое освидетельствование лифта.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8100</v>
      </c>
      <c r="G158" s="142"/>
      <c r="H158" s="24" t="str">
        <f t="shared" ref="H158:H187" si="16">VLOOKUP(A158,$A$28:$J$72,8,FALSE)</f>
        <v>ежегодно</v>
      </c>
      <c r="I158" s="143">
        <f t="shared" ref="I158:I161" si="17">VLOOKUP(A158,$A$28:$J$72,9,FALSE)</f>
        <v>1</v>
      </c>
      <c r="J158" s="14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1" t="str">
        <f t="shared" si="14"/>
        <v>Техническое обслуживание охранной сигнализации.</v>
      </c>
      <c r="B159" s="141"/>
      <c r="C159" s="141"/>
      <c r="D159" s="141"/>
      <c r="E159" s="141"/>
      <c r="F159" s="142">
        <f t="shared" si="15"/>
        <v>21000</v>
      </c>
      <c r="G159" s="142"/>
      <c r="H159" s="24" t="str">
        <f t="shared" si="16"/>
        <v>ежемесячно</v>
      </c>
      <c r="I159" s="143">
        <f t="shared" si="17"/>
        <v>12</v>
      </c>
      <c r="J159" s="143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41" t="str">
        <f t="shared" si="14"/>
        <v>Приобретение и замена Wi-Fi роутера для диспетчерской связи пассажирского лифта.</v>
      </c>
      <c r="B160" s="141"/>
      <c r="C160" s="141"/>
      <c r="D160" s="141"/>
      <c r="E160" s="141"/>
      <c r="F160" s="142">
        <f t="shared" si="15"/>
        <v>1499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72</v>
      </c>
      <c r="N160" s="1" t="str">
        <v>Приобретение и замена Wi-Fi роутера для диспетчерской связи пассажирского лифта.</v>
      </c>
    </row>
    <row r="161" spans="1:14" ht="28.5" customHeight="1">
      <c r="A161" s="141" t="str">
        <f>IF(N161&gt;0,N161,0)</f>
        <v>Приобретение и установка плафонов освещения кабины лифта (2 шт.).</v>
      </c>
      <c r="B161" s="141"/>
      <c r="C161" s="141"/>
      <c r="D161" s="141"/>
      <c r="E161" s="141"/>
      <c r="F161" s="142">
        <f t="shared" si="15"/>
        <v>5348</v>
      </c>
      <c r="G161" s="142"/>
      <c r="H161" s="24" t="str">
        <f t="shared" si="16"/>
        <v>разово</v>
      </c>
      <c r="I161" s="143">
        <f t="shared" si="17"/>
        <v>1</v>
      </c>
      <c r="J161" s="143"/>
      <c r="M161" s="22" t="s">
        <v>72</v>
      </c>
      <c r="N161" s="1" t="str">
        <v>Приобретение и установка плафонов освещения кабины лифта (2 шт.).</v>
      </c>
    </row>
    <row r="162" spans="1:14" ht="28.5" customHeight="1">
      <c r="A162" s="141" t="str">
        <f t="shared" si="14"/>
        <v>Ремонт теплового пункта (частичная замена аварийного трубопровода).</v>
      </c>
      <c r="B162" s="141"/>
      <c r="C162" s="141"/>
      <c r="D162" s="141"/>
      <c r="E162" s="141"/>
      <c r="F162" s="142">
        <f t="shared" si="15"/>
        <v>3366.9</v>
      </c>
      <c r="G162" s="142"/>
      <c r="H162" s="24" t="str">
        <f t="shared" si="16"/>
        <v>разово</v>
      </c>
      <c r="I162" s="143">
        <f>VLOOKUP(A162,$A$28:$J$72,9,FALSE)</f>
        <v>1</v>
      </c>
      <c r="J162" s="143"/>
      <c r="M162" s="22" t="s">
        <v>72</v>
      </c>
      <c r="N162" s="1" t="str">
        <v>Ремонт теплового пункта (частичная замена аварийного трубопровода).</v>
      </c>
    </row>
    <row r="163" spans="1:14" ht="28.5" customHeight="1">
      <c r="A163" s="141" t="str">
        <f t="shared" si="14"/>
        <v>Ремонт пассажирского лифта (замена платы управления).</v>
      </c>
      <c r="B163" s="141"/>
      <c r="C163" s="141"/>
      <c r="D163" s="141"/>
      <c r="E163" s="141"/>
      <c r="F163" s="142">
        <f t="shared" si="15"/>
        <v>33950</v>
      </c>
      <c r="G163" s="142"/>
      <c r="H163" s="24" t="str">
        <f t="shared" si="16"/>
        <v>разово</v>
      </c>
      <c r="I163" s="143">
        <f>VLOOKUP(A163,$A$28:$J$72,9,FALSE)</f>
        <v>1</v>
      </c>
      <c r="J163" s="143"/>
      <c r="M163" s="22" t="s">
        <v>72</v>
      </c>
      <c r="N163" s="1" t="str">
        <v>Ремонт пассажирского лифта (замена платы управления).</v>
      </c>
    </row>
    <row r="164" spans="1:14" ht="28.5" customHeight="1">
      <c r="A164" s="141" t="str">
        <f t="shared" ref="A164:A187" si="18">IF(N164&gt;0,N164,0)</f>
        <v>Ремонт пассажирского лифта (замена замков дверей кабины и шахты).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9974</v>
      </c>
      <c r="G164" s="142"/>
      <c r="H164" s="29" t="str">
        <f t="shared" si="16"/>
        <v>разово</v>
      </c>
      <c r="I164" s="143">
        <f t="shared" ref="I164:I187" si="20">VLOOKUP(A164,$A$28:$J$72,9,FALSE)</f>
        <v>1</v>
      </c>
      <c r="J164" s="143"/>
      <c r="M164" s="22" t="s">
        <v>72</v>
      </c>
      <c r="N164" s="1" t="str">
        <v>Ремонт пассажирского лифта (замена замков дверей кабины и шахты).</v>
      </c>
    </row>
    <row r="165" spans="1:14" ht="28.5" customHeight="1">
      <c r="A165" s="141" t="str">
        <f t="shared" si="18"/>
        <v>Механизированная уборка и вывоз снега с придомовой территории.</v>
      </c>
      <c r="B165" s="141"/>
      <c r="C165" s="141"/>
      <c r="D165" s="141"/>
      <c r="E165" s="141"/>
      <c r="F165" s="142">
        <f t="shared" si="19"/>
        <v>9917</v>
      </c>
      <c r="G165" s="142"/>
      <c r="H165" s="29" t="str">
        <f t="shared" si="16"/>
        <v>разово</v>
      </c>
      <c r="I165" s="143">
        <f t="shared" si="20"/>
        <v>1</v>
      </c>
      <c r="J165" s="143"/>
      <c r="M165" s="22" t="s">
        <v>72</v>
      </c>
      <c r="N165" s="1" t="str">
        <v>Механизированная уборка и вывоз снега с придомовой территории.</v>
      </c>
    </row>
    <row r="166" spans="1:14" ht="28.5" customHeight="1">
      <c r="A166" s="141" t="str">
        <f t="shared" si="18"/>
        <v>Приобретение и установка доводчика на тамбурной двери.</v>
      </c>
      <c r="B166" s="141"/>
      <c r="C166" s="141"/>
      <c r="D166" s="141"/>
      <c r="E166" s="141"/>
      <c r="F166" s="142">
        <f t="shared" si="19"/>
        <v>1500</v>
      </c>
      <c r="G166" s="142"/>
      <c r="H166" s="29" t="str">
        <f t="shared" si="16"/>
        <v>разово</v>
      </c>
      <c r="I166" s="143">
        <f t="shared" si="20"/>
        <v>1</v>
      </c>
      <c r="J166" s="143"/>
      <c r="M166" s="22" t="s">
        <v>72</v>
      </c>
      <c r="N166" s="1" t="str">
        <v>Приобретение и установка доводчика на тамбурной двери.</v>
      </c>
    </row>
    <row r="167" spans="1:14" ht="28.5" customHeight="1">
      <c r="A167" s="141" t="str">
        <f t="shared" si="18"/>
        <v>Приобретение и укладка грязезащитного покрытия.</v>
      </c>
      <c r="B167" s="141"/>
      <c r="C167" s="141"/>
      <c r="D167" s="141"/>
      <c r="E167" s="141"/>
      <c r="F167" s="142">
        <f t="shared" si="19"/>
        <v>3582.5</v>
      </c>
      <c r="G167" s="142"/>
      <c r="H167" s="29" t="str">
        <f t="shared" si="16"/>
        <v>разово</v>
      </c>
      <c r="I167" s="143">
        <f t="shared" si="20"/>
        <v>1</v>
      </c>
      <c r="J167" s="143"/>
      <c r="M167" s="22" t="s">
        <v>72</v>
      </c>
      <c r="N167" s="1" t="str">
        <v>Приобретение и укладка грязезащитного покрытия.</v>
      </c>
    </row>
    <row r="168" spans="1:14" ht="28.5" customHeight="1">
      <c r="A168" s="141" t="str">
        <f t="shared" si="18"/>
        <v>Приобретение и установка плафонов освещения кабины лифта (2 шт.) доплата.</v>
      </c>
      <c r="B168" s="141"/>
      <c r="C168" s="141"/>
      <c r="D168" s="141"/>
      <c r="E168" s="141"/>
      <c r="F168" s="142">
        <f t="shared" si="19"/>
        <v>7700</v>
      </c>
      <c r="G168" s="142"/>
      <c r="H168" s="29" t="str">
        <f t="shared" si="16"/>
        <v>разово</v>
      </c>
      <c r="I168" s="143">
        <f t="shared" si="20"/>
        <v>1</v>
      </c>
      <c r="J168" s="143"/>
      <c r="M168" s="22" t="s">
        <v>72</v>
      </c>
      <c r="N168" s="1" t="str">
        <v>Приобретение и установка плафонов освещения кабины лифта (2 шт.) доплата.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72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72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72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72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72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72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72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72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72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72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72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72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72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72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72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72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72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72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44" t="s">
        <v>189</v>
      </c>
      <c r="B190" s="144"/>
      <c r="C190" s="144"/>
      <c r="D190" s="144"/>
      <c r="E190" s="27">
        <f>SUM(F158:G187)</f>
        <v>105937.4</v>
      </c>
    </row>
    <row r="191" spans="1:14" ht="51.75" customHeight="1">
      <c r="A191" s="144" t="s">
        <v>188</v>
      </c>
      <c r="B191" s="144"/>
      <c r="C191" s="144"/>
      <c r="D191" s="144"/>
      <c r="E191" s="27">
        <f>E190+E154-E155</f>
        <v>-11747.990000000034</v>
      </c>
    </row>
    <row r="192" spans="1:14">
      <c r="A192" s="104" t="s">
        <v>175</v>
      </c>
    </row>
    <row r="193" spans="1:10" ht="62.25" customHeight="1">
      <c r="A193" s="169" t="s">
        <v>187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 -  поверка (замена) манометров и термометров</v>
      </c>
      <c r="B194" s="168"/>
      <c r="C194" s="168"/>
      <c r="D194" s="168"/>
      <c r="E194" s="168"/>
      <c r="F194" s="168"/>
      <c r="G194" s="168"/>
      <c r="H194" s="49">
        <f>ПТО!G12</f>
        <v>1200</v>
      </c>
      <c r="I194" s="50" t="s">
        <v>75</v>
      </c>
    </row>
    <row r="195" spans="1:10" ht="18.75" customHeight="1">
      <c r="A195" s="168" t="str">
        <f>ПТО!F13</f>
        <v xml:space="preserve">  -  техническое освидетельствование лифта</v>
      </c>
      <c r="B195" s="168"/>
      <c r="C195" s="168"/>
      <c r="D195" s="168"/>
      <c r="E195" s="168"/>
      <c r="F195" s="168"/>
      <c r="G195" s="168"/>
      <c r="H195" s="49">
        <f>ПТО!G13</f>
        <v>8100</v>
      </c>
      <c r="I195" s="50" t="s">
        <v>75</v>
      </c>
    </row>
    <row r="196" spans="1:10" ht="18.75" customHeight="1">
      <c r="A196" s="168" t="str">
        <f>ПТО!F14</f>
        <v xml:space="preserve">  -  техническое обслуживание охранной сигнализации</v>
      </c>
      <c r="B196" s="168"/>
      <c r="C196" s="168"/>
      <c r="D196" s="168"/>
      <c r="E196" s="168"/>
      <c r="F196" s="168"/>
      <c r="G196" s="168"/>
      <c r="H196" s="49">
        <f>ПТО!G14</f>
        <v>21000</v>
      </c>
      <c r="I196" s="50" t="s">
        <v>75</v>
      </c>
    </row>
    <row r="197" spans="1:10" ht="18.75" customHeight="1">
      <c r="A197" s="168" t="str">
        <f>ПТО!F15</f>
        <v xml:space="preserve">  -  ремонт подъезда</v>
      </c>
      <c r="B197" s="168"/>
      <c r="C197" s="168"/>
      <c r="D197" s="168"/>
      <c r="E197" s="168"/>
      <c r="F197" s="168"/>
      <c r="G197" s="168"/>
      <c r="H197" s="49">
        <f>ПТО!G15</f>
        <v>300000</v>
      </c>
      <c r="I197" s="50" t="s">
        <v>75</v>
      </c>
    </row>
    <row r="198" spans="1:10" ht="36" customHeight="1">
      <c r="A198" s="168" t="str">
        <f>ПТО!F16</f>
        <v xml:space="preserve">  -  механизированная уборка и вывоз снега с придомовой территории</v>
      </c>
      <c r="B198" s="168"/>
      <c r="C198" s="168"/>
      <c r="D198" s="168"/>
      <c r="E198" s="168"/>
      <c r="F198" s="168"/>
      <c r="G198" s="168"/>
      <c r="H198" s="49">
        <f>ПТО!G16</f>
        <v>10000</v>
      </c>
      <c r="I198" s="52" t="s">
        <v>75</v>
      </c>
    </row>
    <row r="199" spans="1:10" ht="18.75" hidden="1" customHeight="1">
      <c r="A199" s="168">
        <f>ПТО!F17</f>
        <v>0</v>
      </c>
      <c r="B199" s="168"/>
      <c r="C199" s="168"/>
      <c r="D199" s="168"/>
      <c r="E199" s="168"/>
      <c r="F199" s="168"/>
      <c r="G199" s="168"/>
      <c r="H199" s="49">
        <f>ПТО!G17</f>
        <v>0</v>
      </c>
      <c r="I199" s="50" t="s">
        <v>75</v>
      </c>
    </row>
    <row r="200" spans="1:10" hidden="1">
      <c r="A200" s="168">
        <f>ПТО!F18</f>
        <v>0</v>
      </c>
      <c r="B200" s="168"/>
      <c r="C200" s="168"/>
      <c r="D200" s="168"/>
      <c r="E200" s="168"/>
      <c r="F200" s="168"/>
      <c r="G200" s="168"/>
      <c r="H200" s="49">
        <f>ПТО!G18</f>
        <v>0</v>
      </c>
      <c r="I200" s="50" t="s">
        <v>75</v>
      </c>
    </row>
    <row r="201" spans="1:10" hidden="1">
      <c r="A201" s="168">
        <f>ПТО!F19</f>
        <v>0</v>
      </c>
      <c r="B201" s="168"/>
      <c r="C201" s="168"/>
      <c r="D201" s="168"/>
      <c r="E201" s="168"/>
      <c r="F201" s="168"/>
      <c r="G201" s="168"/>
      <c r="H201" s="49">
        <f>ПТО!G19</f>
        <v>0</v>
      </c>
      <c r="I201" s="50" t="s">
        <v>75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49">
        <f>ПТО!G20</f>
        <v>0</v>
      </c>
      <c r="I202" s="50" t="s">
        <v>75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49">
        <f>ПТО!G21</f>
        <v>0</v>
      </c>
      <c r="I203" s="50" t="s">
        <v>75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49">
        <f>ПТО!G22</f>
        <v>0</v>
      </c>
      <c r="I204" s="50" t="s">
        <v>75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49">
        <f>ПТО!G23</f>
        <v>0</v>
      </c>
      <c r="I205" s="50" t="s">
        <v>75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49">
        <f>ПТО!G24</f>
        <v>0</v>
      </c>
      <c r="I206" s="50" t="s">
        <v>75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49">
        <f>ПТО!G25</f>
        <v>0</v>
      </c>
      <c r="I207" s="50" t="s">
        <v>75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49">
        <f>ПТО!G26</f>
        <v>0</v>
      </c>
      <c r="I208" s="50" t="s">
        <v>75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49">
        <f>ПТО!G27</f>
        <v>0</v>
      </c>
      <c r="I209" s="50" t="s">
        <v>75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49">
        <f>ПТО!G28</f>
        <v>0</v>
      </c>
      <c r="I210" s="50" t="s">
        <v>75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49">
        <f>ПТО!G29</f>
        <v>0</v>
      </c>
      <c r="I211" s="50" t="s">
        <v>75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49">
        <f>ПТО!G30</f>
        <v>0</v>
      </c>
      <c r="I212" s="50" t="s">
        <v>75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340300</v>
      </c>
      <c r="I214" s="56" t="s">
        <v>78</v>
      </c>
    </row>
  </sheetData>
  <sheetProtection algorithmName="SHA-512" hashValue="l2jdDrNVGvnxfUPs/H1795gsThtPv78z6yWmz+UDLq/LvPT5FcFtKaJah58HZoHE6wFExH+EapcF6YJH/zZguA==" saltValue="/GyOL36s14XTUC4hrkBhV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6" sqref="D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16753.01</f>
        <v>16753.009999999998</v>
      </c>
    </row>
    <row r="2" spans="1:12" ht="18.75" customHeight="1">
      <c r="A2" s="135" t="s">
        <v>73</v>
      </c>
      <c r="B2" s="136" t="s">
        <v>181</v>
      </c>
      <c r="C2" s="136">
        <v>1</v>
      </c>
      <c r="D2" s="137">
        <v>8100</v>
      </c>
      <c r="E2" s="133" t="s">
        <v>209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5" t="s">
        <v>180</v>
      </c>
      <c r="B3" s="136" t="s">
        <v>182</v>
      </c>
      <c r="C3" s="138">
        <v>12</v>
      </c>
      <c r="D3" s="139">
        <f>1750*12</f>
        <v>21000</v>
      </c>
      <c r="E3" s="133" t="s">
        <v>210</v>
      </c>
      <c r="F3" s="30"/>
      <c r="G3" s="30"/>
      <c r="L3" s="33" t="str">
        <f t="shared" si="0"/>
        <v>ТР</v>
      </c>
    </row>
    <row r="4" spans="1:12" ht="18.75" customHeight="1">
      <c r="A4" s="121" t="s">
        <v>193</v>
      </c>
      <c r="B4" s="122" t="s">
        <v>192</v>
      </c>
      <c r="C4" s="122">
        <v>1</v>
      </c>
      <c r="D4" s="123">
        <v>1499</v>
      </c>
      <c r="E4" s="124" t="s">
        <v>194</v>
      </c>
      <c r="F4" s="30"/>
      <c r="G4" s="30"/>
      <c r="L4" s="33" t="str">
        <f t="shared" si="0"/>
        <v>ТР</v>
      </c>
    </row>
    <row r="5" spans="1:12" ht="18.75" customHeight="1">
      <c r="A5" s="121" t="s">
        <v>191</v>
      </c>
      <c r="B5" s="122" t="s">
        <v>192</v>
      </c>
      <c r="C5" s="122">
        <v>1</v>
      </c>
      <c r="D5" s="123">
        <f>5348</f>
        <v>5348</v>
      </c>
      <c r="E5" s="124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196</v>
      </c>
      <c r="B6" s="122" t="s">
        <v>192</v>
      </c>
      <c r="C6" s="122">
        <v>1</v>
      </c>
      <c r="D6" s="123">
        <v>3366.9</v>
      </c>
      <c r="E6" s="124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199</v>
      </c>
      <c r="B7" s="122" t="s">
        <v>192</v>
      </c>
      <c r="C7" s="122">
        <v>1</v>
      </c>
      <c r="D7" s="123">
        <v>33950</v>
      </c>
      <c r="E7" s="124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21" t="s">
        <v>198</v>
      </c>
      <c r="B8" s="122" t="s">
        <v>192</v>
      </c>
      <c r="C8" s="127">
        <v>1</v>
      </c>
      <c r="D8" s="123">
        <v>9974</v>
      </c>
      <c r="E8" s="124" t="s">
        <v>201</v>
      </c>
      <c r="F8" s="45"/>
      <c r="G8" s="45"/>
      <c r="K8" s="43"/>
      <c r="L8" s="33" t="str">
        <f t="shared" si="0"/>
        <v>ТР</v>
      </c>
    </row>
    <row r="9" spans="1:12">
      <c r="A9" s="131" t="s">
        <v>204</v>
      </c>
      <c r="B9" s="132" t="s">
        <v>192</v>
      </c>
      <c r="C9" s="128">
        <v>1</v>
      </c>
      <c r="D9" s="129">
        <v>9917</v>
      </c>
      <c r="E9" s="130" t="s">
        <v>205</v>
      </c>
      <c r="F9" s="44"/>
      <c r="G9" s="44"/>
      <c r="K9" s="43"/>
      <c r="L9" s="33" t="str">
        <f t="shared" si="0"/>
        <v>ТР</v>
      </c>
    </row>
    <row r="10" spans="1:12">
      <c r="A10" s="121" t="s">
        <v>202</v>
      </c>
      <c r="B10" s="122" t="s">
        <v>192</v>
      </c>
      <c r="C10" s="122">
        <v>1</v>
      </c>
      <c r="D10" s="123">
        <v>1500</v>
      </c>
      <c r="E10" s="133" t="s">
        <v>206</v>
      </c>
      <c r="L10" s="33" t="str">
        <f t="shared" si="0"/>
        <v>ТР</v>
      </c>
    </row>
    <row r="11" spans="1:12" ht="94.5">
      <c r="A11" s="121" t="s">
        <v>203</v>
      </c>
      <c r="B11" s="122" t="s">
        <v>192</v>
      </c>
      <c r="C11" s="122">
        <v>1</v>
      </c>
      <c r="D11" s="123">
        <v>3582.5</v>
      </c>
      <c r="E11" s="133" t="s">
        <v>207</v>
      </c>
      <c r="F11" s="111" t="s">
        <v>187</v>
      </c>
      <c r="G11" s="111"/>
      <c r="L11" s="33" t="str">
        <f t="shared" si="0"/>
        <v>ТР</v>
      </c>
    </row>
    <row r="12" spans="1:12" ht="31.5">
      <c r="A12" s="121" t="s">
        <v>212</v>
      </c>
      <c r="B12" s="122" t="s">
        <v>192</v>
      </c>
      <c r="C12" s="122">
        <v>1</v>
      </c>
      <c r="D12" s="123">
        <v>7700</v>
      </c>
      <c r="E12" s="124" t="s">
        <v>208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30"/>
      <c r="B13" s="133"/>
      <c r="C13" s="133"/>
      <c r="D13" s="133"/>
      <c r="E13" s="133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184</v>
      </c>
      <c r="G14" s="114">
        <v>21000</v>
      </c>
      <c r="L14" s="33">
        <f t="shared" si="0"/>
        <v>0</v>
      </c>
    </row>
    <row r="15" spans="1:12" ht="15.75">
      <c r="A15" s="30"/>
      <c r="F15" s="112" t="s">
        <v>185</v>
      </c>
      <c r="G15" s="113">
        <v>300000</v>
      </c>
      <c r="L15" s="33">
        <f t="shared" si="0"/>
        <v>0</v>
      </c>
    </row>
    <row r="16" spans="1:12" ht="31.5">
      <c r="A16" s="30"/>
      <c r="F16" s="112" t="s">
        <v>211</v>
      </c>
      <c r="G16" s="140">
        <v>10000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9"/>
      <c r="G18" s="120"/>
      <c r="L18" s="33">
        <f t="shared" si="0"/>
        <v>0</v>
      </c>
    </row>
    <row r="19" spans="1:12">
      <c r="A19" s="30"/>
      <c r="F19" s="103"/>
      <c r="G19" s="118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68115.48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68115.48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89401.56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89401.56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46605.36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46605.36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26887.68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26887.68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8738.52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8738.52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50190.36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50190.36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53999.4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53999.4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5"/>
      <c r="C47" s="126"/>
      <c r="D47" s="48"/>
      <c r="E47" s="125">
        <v>581</v>
      </c>
      <c r="F47" s="125">
        <v>305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2WQrvpAAghW5hoqmUdhZOVxWv/WTSAfYo5ukByxzc5xpo3fBo1O9wcIkGwXOW6fBxfzn6qgZA1foYXGIOj3C6A==" saltValue="HofPEgF7mWZchrZdIhxh0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1867.2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308311.5400000001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478376.64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(14.26+1.09)*12*F1</f>
        <v>343938.24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F1*6*12</f>
        <v>134438.40000000002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496785.79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496785.79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496785.79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289902.39000000019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2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2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2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2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1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1"/>
      <c r="N26" s="63"/>
    </row>
    <row r="27" spans="1:15" ht="18.75" customHeight="1">
      <c r="A27" s="70" t="s">
        <v>106</v>
      </c>
      <c r="B27" s="75" t="s">
        <v>4</v>
      </c>
      <c r="C27" s="86">
        <v>87346.6</v>
      </c>
      <c r="D27" s="81" t="s">
        <v>60</v>
      </c>
      <c r="E27" s="64"/>
      <c r="F27" s="64"/>
      <c r="G27" s="64"/>
      <c r="H27" s="64"/>
      <c r="I27" s="64"/>
      <c r="J27" s="64"/>
      <c r="M27" s="171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1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1"/>
      <c r="N29" s="63"/>
    </row>
    <row r="30" spans="1:15" ht="18.75" customHeight="1">
      <c r="A30" s="70" t="s">
        <v>109</v>
      </c>
      <c r="B30" s="75" t="s">
        <v>18</v>
      </c>
      <c r="C30" s="86">
        <f>C27+38915.82</f>
        <v>126262.42000000001</v>
      </c>
      <c r="D30" s="81" t="s">
        <v>66</v>
      </c>
      <c r="E30" s="64"/>
      <c r="F30" s="64"/>
      <c r="G30" s="64"/>
      <c r="H30" s="64"/>
      <c r="I30" s="64"/>
      <c r="J30" s="64"/>
      <c r="M30" s="171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1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1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1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1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159030.46999999994</v>
      </c>
      <c r="F37" s="94" t="s">
        <v>168</v>
      </c>
      <c r="G37" s="66"/>
      <c r="H37" s="66"/>
      <c r="I37" s="66"/>
      <c r="L37" s="63"/>
      <c r="M37" s="170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125812.09790494054</v>
      </c>
      <c r="D38" s="94" t="s">
        <v>166</v>
      </c>
      <c r="E38" s="68"/>
      <c r="G38" s="67"/>
      <c r="H38" s="67"/>
      <c r="L38" s="63"/>
      <c r="M38" s="170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135866.28000000003</v>
      </c>
      <c r="D39" s="94" t="s">
        <v>167</v>
      </c>
      <c r="E39" s="68"/>
      <c r="G39" s="67"/>
      <c r="H39" s="67"/>
      <c r="L39" s="63"/>
      <c r="M39" s="170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23164.189999999915</v>
      </c>
      <c r="D40" s="80" t="s">
        <v>59</v>
      </c>
      <c r="E40" s="134"/>
      <c r="G40" s="67"/>
      <c r="H40" s="67"/>
      <c r="L40" s="63"/>
      <c r="M40" s="170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159030.46999999994</v>
      </c>
      <c r="D41" s="80" t="s">
        <v>59</v>
      </c>
      <c r="E41" s="134"/>
      <c r="G41" s="67"/>
      <c r="H41" s="67"/>
      <c r="L41" s="63"/>
      <c r="M41" s="170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159030.46999999994</v>
      </c>
      <c r="D42" s="80" t="s">
        <v>59</v>
      </c>
      <c r="E42" s="134"/>
      <c r="G42" s="67"/>
      <c r="H42" s="67"/>
      <c r="L42" s="63"/>
      <c r="M42" s="170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0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0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99205.609999999986</v>
      </c>
      <c r="F45" s="94" t="s">
        <v>168</v>
      </c>
      <c r="G45" s="66"/>
      <c r="H45" s="66"/>
      <c r="L45" s="63"/>
      <c r="M45" s="170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6614.3600662346053</v>
      </c>
      <c r="D46" s="94" t="s">
        <v>169</v>
      </c>
      <c r="E46" s="68"/>
      <c r="G46" s="67"/>
      <c r="H46" s="67"/>
      <c r="L46" s="63"/>
      <c r="M46" s="170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97657.610000000015</v>
      </c>
      <c r="D47" s="94" t="s">
        <v>167</v>
      </c>
      <c r="E47" s="68"/>
      <c r="G47" s="67"/>
      <c r="H47" s="67"/>
      <c r="L47" s="63"/>
      <c r="M47" s="170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1547.9999999999709</v>
      </c>
      <c r="D48" s="80" t="s">
        <v>59</v>
      </c>
      <c r="E48" s="68"/>
      <c r="G48" s="67"/>
      <c r="H48" s="67"/>
      <c r="L48" s="63"/>
      <c r="M48" s="170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99205.609999999986</v>
      </c>
      <c r="D49" s="80" t="s">
        <v>59</v>
      </c>
      <c r="E49" s="68"/>
      <c r="G49" s="67"/>
      <c r="H49" s="67"/>
      <c r="L49" s="63"/>
      <c r="M49" s="170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99205.609999999986</v>
      </c>
      <c r="D50" s="80" t="s">
        <v>59</v>
      </c>
      <c r="E50" s="68"/>
      <c r="G50" s="67"/>
      <c r="H50" s="67"/>
      <c r="L50" s="63"/>
      <c r="M50" s="170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0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0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120616.24000000003</v>
      </c>
      <c r="F53" s="94" t="s">
        <v>168</v>
      </c>
      <c r="G53" s="66"/>
      <c r="H53" s="66"/>
      <c r="L53" s="63"/>
      <c r="M53" s="170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7246.5712105220446</v>
      </c>
      <c r="D54" s="94" t="s">
        <v>169</v>
      </c>
      <c r="E54" s="69"/>
      <c r="F54" s="89"/>
      <c r="G54" s="64"/>
      <c r="H54" s="64"/>
      <c r="L54" s="63"/>
      <c r="M54" s="170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113457.59999999998</v>
      </c>
      <c r="D55" s="94" t="s">
        <v>167</v>
      </c>
      <c r="E55" s="69"/>
      <c r="G55" s="64"/>
      <c r="H55" s="64"/>
      <c r="L55" s="63"/>
      <c r="M55" s="170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7158.6400000000576</v>
      </c>
      <c r="D56" s="80" t="s">
        <v>59</v>
      </c>
      <c r="E56" s="69"/>
      <c r="G56" s="64"/>
      <c r="H56" s="64"/>
      <c r="L56" s="63"/>
      <c r="M56" s="170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120616.24000000003</v>
      </c>
      <c r="D57" s="80" t="s">
        <v>59</v>
      </c>
      <c r="E57" s="69"/>
      <c r="G57" s="64"/>
      <c r="H57" s="64"/>
      <c r="L57" s="63"/>
      <c r="M57" s="170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120616.24000000003</v>
      </c>
      <c r="D58" s="80" t="s">
        <v>59</v>
      </c>
      <c r="E58" s="69"/>
      <c r="G58" s="64"/>
      <c r="H58" s="64"/>
      <c r="L58" s="63"/>
      <c r="M58" s="170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0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0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76339.94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150.20305582127253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69294.950000000012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7044.9899999999907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76339.94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76339.94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6" sqref="F1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17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2023-03-30T06:14:36Z</dcterms:modified>
</cp:coreProperties>
</file>