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H59" i="2"/>
  <c r="H60" s="1"/>
  <c r="H61" s="1"/>
  <c r="H53"/>
  <c r="H54" s="1"/>
  <c r="B47" l="1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/>
  <c r="J120"/>
  <c r="J119"/>
  <c r="G118"/>
  <c r="J117"/>
  <c r="J112"/>
  <c r="J111"/>
  <c r="A117"/>
  <c r="A115"/>
  <c r="A113"/>
  <c r="A111"/>
  <c r="G110"/>
  <c r="A110"/>
  <c r="J109"/>
  <c r="J104"/>
  <c r="J103"/>
  <c r="A109"/>
  <c r="A105"/>
  <c r="G102"/>
  <c r="F102"/>
  <c r="J101"/>
  <c r="J96"/>
  <c r="J95"/>
  <c r="A95"/>
  <c r="G94"/>
  <c r="K94"/>
  <c r="F118" l="1"/>
  <c r="F110"/>
  <c r="A114"/>
  <c r="A122"/>
  <c r="F134"/>
  <c r="A141"/>
  <c r="A137"/>
  <c r="A123"/>
  <c r="A119"/>
  <c r="A125"/>
  <c r="A118"/>
  <c r="A121"/>
  <c r="D110"/>
  <c r="A112"/>
  <c r="A94"/>
  <c r="A96"/>
  <c r="D94"/>
  <c r="A99"/>
  <c r="A100"/>
  <c r="F94"/>
  <c r="A101"/>
  <c r="A102"/>
  <c r="A107"/>
  <c r="A134"/>
  <c r="A135"/>
  <c r="A139"/>
  <c r="A106"/>
  <c r="A138"/>
  <c r="A97"/>
  <c r="A103"/>
  <c r="D102"/>
  <c r="A104"/>
  <c r="D118"/>
  <c r="A120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N158" s="1" a="1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/>
  <c r="N184"/>
  <c r="A184" s="1"/>
  <c r="I184" s="1"/>
  <c r="N168"/>
  <c r="A168" s="1"/>
  <c r="I168" s="1"/>
  <c r="N181"/>
  <c r="A181" s="1"/>
  <c r="I181" s="1"/>
  <c r="N165"/>
  <c r="A165" s="1"/>
  <c r="I165" s="1"/>
  <c r="N179"/>
  <c r="A179" s="1"/>
  <c r="I179" s="1"/>
  <c r="N163"/>
  <c r="N178"/>
  <c r="A178" s="1"/>
  <c r="I178" s="1"/>
  <c r="N162"/>
  <c r="N180"/>
  <c r="A180" s="1"/>
  <c r="I180" s="1"/>
  <c r="N164"/>
  <c r="A164" s="1"/>
  <c r="I164" s="1"/>
  <c r="N177"/>
  <c r="A177" s="1"/>
  <c r="I177" s="1"/>
  <c r="N161"/>
  <c r="A161" s="1"/>
  <c r="N175"/>
  <c r="A175" s="1"/>
  <c r="I175" s="1"/>
  <c r="N159"/>
  <c r="N174"/>
  <c r="A174" s="1"/>
  <c r="I174" s="1"/>
  <c r="N176"/>
  <c r="A176" s="1"/>
  <c r="I176" s="1"/>
  <c r="N160"/>
  <c r="N173"/>
  <c r="A173" s="1"/>
  <c r="I173" s="1"/>
  <c r="N187"/>
  <c r="A187" s="1"/>
  <c r="I187" s="1"/>
  <c r="N171"/>
  <c r="A171" s="1"/>
  <c r="I171" s="1"/>
  <c r="N186"/>
  <c r="A186" s="1"/>
  <c r="I186" s="1"/>
  <c r="N170"/>
  <c r="A170" s="1"/>
  <c r="I170" s="1"/>
  <c r="N172"/>
  <c r="A172" s="1"/>
  <c r="I172" s="1"/>
  <c r="N185"/>
  <c r="A185" s="1"/>
  <c r="I185" s="1"/>
  <c r="N169"/>
  <c r="A169" s="1"/>
  <c r="I169" s="1"/>
  <c r="N183"/>
  <c r="A183" s="1"/>
  <c r="I183" s="1"/>
  <c r="N167"/>
  <c r="A167" s="1"/>
  <c r="I167" s="1"/>
  <c r="N182"/>
  <c r="A182" s="1"/>
  <c r="I182" s="1"/>
  <c r="N166"/>
  <c r="A166" s="1"/>
  <c r="I166" s="1"/>
  <c r="O28"/>
  <c r="F166" l="1"/>
  <c r="F186"/>
  <c r="H173"/>
  <c r="H186"/>
  <c r="H181"/>
  <c r="F184"/>
  <c r="H184"/>
  <c r="H183"/>
  <c r="H176"/>
  <c r="F176"/>
  <c r="H166"/>
  <c r="F183"/>
  <c r="H185"/>
  <c r="F181"/>
  <c r="F180"/>
  <c r="H175"/>
  <c r="F173"/>
  <c r="H170"/>
  <c r="F168"/>
  <c r="F174"/>
  <c r="H171"/>
  <c r="F164"/>
  <c r="H168"/>
  <c r="F165"/>
  <c r="F171"/>
  <c r="H165"/>
  <c r="H164"/>
  <c r="F167"/>
  <c r="F169"/>
  <c r="F170"/>
  <c r="H178"/>
  <c r="H180"/>
  <c r="H169"/>
  <c r="F172"/>
  <c r="F178"/>
  <c r="H182"/>
  <c r="H179"/>
  <c r="F175"/>
  <c r="F179"/>
  <c r="F177"/>
  <c r="F182"/>
  <c r="F187"/>
  <c r="H167"/>
  <c r="H187"/>
  <c r="H177"/>
  <c r="F185"/>
  <c r="H172"/>
  <c r="H174"/>
  <c r="A159"/>
  <c r="A160"/>
  <c r="A163"/>
  <c r="A162"/>
  <c r="A158"/>
  <c r="E155"/>
  <c r="H160" l="1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<sst xmlns="http://schemas.openxmlformats.org/spreadsheetml/2006/main" count="557" uniqueCount="204">
  <si>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</si>
  <si>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</si>
  <si>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</si>
  <si>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</si>
  <si>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</si>
  <si>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</si>
  <si>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</si>
  <si>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</si>
  <si>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</si>
  <si>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</si>
  <si>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</si>
  <si>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</si>
  <si>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</si>
  <si>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</si>
  <si>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</si>
  <si>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</si>
  <si>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</si>
  <si>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</si>
  <si>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</si>
  <si>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</si>
  <si>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</si>
  <si>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</si>
  <si>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</si>
  <si>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</si>
  <si>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</si>
  <si>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</si>
  <si>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</si>
  <si>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</si>
  <si>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</si>
  <si>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</si>
  <si>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</si>
  <si>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</si>
  <si>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</si>
  <si>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</si>
  <si>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</si>
  <si>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</si>
  <si>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</si>
  <si>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</si>
  <si>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</si>
  <si>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</si>
  <si>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</si>
  <si>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</si>
  <si>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</si>
  <si>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</si>
  <si>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</si>
  <si>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</si>
  <si>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</si>
  <si>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</si>
  <si>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</si>
  <si>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</si>
  <si>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</si>
  <si>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</si>
  <si>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</si>
  <si>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</si>
  <si>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</si>
  <si>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</si>
  <si>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</si>
  <si>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</si>
  <si>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</si>
  <si>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</si>
  <si>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</si>
  <si>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</si>
  <si>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</si>
  <si>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</si>
  <si>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</si>
  <si>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</si>
  <si>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</si>
  <si>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</si>
  <si>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</si>
  <si>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</si>
  <si>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</si>
  <si>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</si>
  <si>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</si>
  <si>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</si>
  <si>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</si>
  <si>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</si>
  <si>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</si>
  <si>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</si>
  <si>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</si>
  <si>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</si>
  <si>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</si>
  <si>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</si>
  <si>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</si>
  <si>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</si>
  <si>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</si>
  <si>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</si>
  <si>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</si>
  <si>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</si>
  <si>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</si>
  <si>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</si>
  <si>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</si>
  <si>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</si>
  <si>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</si>
  <si>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</si>
  <si>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</si>
  <si>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</si>
  <si>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</si>
  <si>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</si>
  <si>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</si>
  <si>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</si>
  <si>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</si>
  <si>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</si>
  <si>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</si>
  <si>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</si>
  <si>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</si>
  <si>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</si>
  <si>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</si>
  <si>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</si>
  <si>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</si>
  <si>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</si>
  <si>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</si>
  <si>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</si>
  <si>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</si>
  <si>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</si>
  <si>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</si>
  <si>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</si>
  <si>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</si>
  <si>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</si>
  <si>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</si>
  <si>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</si>
  <si>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</si>
  <si>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</si>
  <si>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</si>
  <si>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</si>
  <si>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</si>
  <si>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</si>
  <si>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</si>
  <si>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</si>
  <si>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</si>
  <si>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</si>
  <si>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</si>
  <si>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</si>
  <si>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</si>
  <si>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</si>
  <si>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</si>
  <si>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</si>
  <si>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</si>
  <si>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</si>
  <si>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</si>
  <si>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</si>
  <si>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</si>
  <si>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</si>
  <si>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</si>
  <si>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</si>
  <si>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</si>
  <si>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</si>
  <si>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</si>
  <si>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</si>
  <si>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</si>
  <si>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</si>
  <si>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</si>
  <si>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</si>
  <si>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</si>
  <si>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</si>
  <si>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</si>
  <si>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</si>
  <si>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</si>
  <si>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</si>
  <si>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</si>
  <si>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</si>
  <si>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</si>
  <si>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</si>
  <si>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</si>
  <si>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</si>
  <si>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</si>
  <si>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</si>
  <si>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</si>
  <si>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</si>
  <si>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</si>
  <si>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</si>
  <si>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</si>
  <si>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</si>
  <si>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</si>
  <si>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</si>
  <si>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</si>
  <si>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</si>
  <si>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33/6</t>
  </si>
  <si>
    <t>Отчет об исполнении договора управления многоквартирного дома 
Первомайский, 33/6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</si>
  <si>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</si>
  <si>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</si>
  <si>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площадь дома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</si>
  <si>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</si>
  <si>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</si>
  <si>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</si>
  <si>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</si>
  <si>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</si>
  <si>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</si>
  <si>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Механезированная уборка и вывоз снега с придомовой территории.</t>
  </si>
  <si>
    <t>разово</t>
  </si>
  <si>
    <t>АВР 1/21 от 17.03.2021</t>
  </si>
  <si>
    <t>Приобретение и установка ОДПУ ХВС.</t>
  </si>
  <si>
    <t>АВР 2/21 от 17.05.2021, счет №105 от 28.04.2021</t>
  </si>
  <si>
    <t>Замена блока питания и разъема на наружной камере системы видеонаблюдения.</t>
  </si>
  <si>
    <t>АВР 3/21 от 29.04.2021</t>
  </si>
  <si>
    <t>Замена АКБ аварийного освещения лифта.</t>
  </si>
  <si>
    <t>АВР 4/21 от 23.07.2021, счет №462 от 22.07.2021</t>
  </si>
  <si>
    <t>Частичный ремонт кровли.</t>
  </si>
  <si>
    <t>АВР 5/21 от 17.11.2021, счет №04/10 от 04.10.2021</t>
  </si>
  <si>
    <t>Частичная установка обрешетки на кровлю.</t>
  </si>
  <si>
    <t>АВР 6/21 от 17.11.2021, Решение</t>
  </si>
  <si>
    <t>Замена блока питания на приборе учета тепловой энергии.</t>
  </si>
  <si>
    <t>АВР 7/21 от 16.11.2021, Решение, счет №452 от 16.11.2021</t>
  </si>
  <si>
    <t>Коммунальные ресурсы на содержание общего имущества</t>
  </si>
  <si>
    <t>АВР 8/21 от 31.12.2021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</si>
</sst>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" fillId="0" borderId="0"/>
  </cellStyleXfs>
  <cellXfs count="179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35" fillId="0" borderId="0" xfId="0" applyNumberFormat="1" applyFont="1"/>
    <xf numFmtId="0" fontId="11" fillId="0" borderId="0" xfId="5" applyFill="1" applyBorder="1" applyAlignment="1">
      <alignment horizontal="center"/>
    </xf>
    <xf numFmtId="0" fontId="25" fillId="0" borderId="0" xfId="5" applyFont="1" applyFill="1" applyBorder="1" applyAlignment="1"/>
    <xf numFmtId="4" fontId="11" fillId="0" borderId="0" xfId="5" applyNumberFormat="1" applyFill="1" applyBorder="1" applyAlignment="1"/>
    <xf numFmtId="4" fontId="17" fillId="0" borderId="0" xfId="0" applyNumberFormat="1" applyFont="1" applyBorder="1"/>
    <xf numFmtId="0" fontId="10" fillId="0" borderId="0" xfId="5" applyFont="1" applyFill="1" applyBorder="1"/>
    <xf numFmtId="0" fontId="9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5" fillId="0" borderId="0" xfId="5" applyFont="1" applyFill="1" applyBorder="1" applyAlignment="1">
      <alignment horizontal="center" vertical="center"/>
    </xf>
    <xf numFmtId="0" fontId="36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7" fillId="3" borderId="0" xfId="6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25" fillId="0" borderId="0" xfId="5" applyNumberFormat="1" applyFont="1" applyFill="1" applyBorder="1" applyAlignment="1"/>
    <xf numFmtId="0" fontId="0" fillId="0" borderId="0" xfId="0" applyFill="1" applyBorder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9" t="s">
        <v>176</v>
      </c>
      <c r="B2" s="169"/>
      <c r="C2" s="169"/>
      <c r="D2" s="169"/>
      <c r="E2" s="169"/>
      <c r="F2" s="169"/>
      <c r="G2" s="169"/>
      <c r="H2" s="169"/>
      <c r="I2" s="169"/>
      <c r="J2" s="16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6" t="s">
        <v>1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09"/>
      <c r="L8" s="170"/>
      <c r="M8" s="109"/>
      <c r="N8" s="109"/>
      <c r="O8" s="70" t="s">
        <v>82</v>
      </c>
      <c r="R8" s="16"/>
    </row>
    <row r="9" spans="1:18" ht="18.75" customHeight="1" outlineLevel="1">
      <c r="A9" s="166" t="s">
        <v>2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0"/>
      <c r="M9" s="109"/>
      <c r="N9" s="109"/>
      <c r="O9" s="70" t="s">
        <v>83</v>
      </c>
    </row>
    <row r="10" spans="1:18" ht="18.75" customHeight="1" outlineLevel="1">
      <c r="A10" s="166" t="s">
        <v>3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718976.13</v>
      </c>
      <c r="K10" s="109"/>
      <c r="L10" s="170"/>
      <c r="M10" s="109"/>
      <c r="N10" s="109"/>
      <c r="O10" s="70" t="s">
        <v>84</v>
      </c>
    </row>
    <row r="11" spans="1:18" outlineLevel="1">
      <c r="A11" s="166" t="s">
        <v>4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1233216.22</v>
      </c>
      <c r="K11" s="109"/>
      <c r="L11" s="170"/>
      <c r="M11" s="109"/>
      <c r="N11" s="109"/>
      <c r="O11" s="70" t="s">
        <v>85</v>
      </c>
    </row>
    <row r="12" spans="1:18" ht="18.75" customHeight="1" outlineLevel="1">
      <c r="A12" s="166" t="s">
        <v>5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970766.62</v>
      </c>
      <c r="K12" s="109"/>
      <c r="L12" s="170"/>
      <c r="M12" s="109"/>
      <c r="N12" s="109"/>
      <c r="O12" s="70" t="s">
        <v>86</v>
      </c>
    </row>
    <row r="13" spans="1:18" ht="18.75" customHeight="1" outlineLevel="1">
      <c r="A13" s="166" t="s">
        <v>6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262449.59999999998</v>
      </c>
      <c r="K13" s="109"/>
      <c r="L13" s="170"/>
      <c r="M13" s="109"/>
      <c r="N13" s="109"/>
      <c r="O13" s="70" t="s">
        <v>87</v>
      </c>
    </row>
    <row r="14" spans="1:18" ht="18.75" customHeight="1" outlineLevel="1">
      <c r="A14" s="166" t="s">
        <v>7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09"/>
      <c r="L14" s="170"/>
      <c r="M14" s="109"/>
      <c r="N14" s="109"/>
      <c r="O14" s="70" t="s">
        <v>88</v>
      </c>
    </row>
    <row r="15" spans="1:18" ht="18.75" customHeight="1" outlineLevel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1239639.45</v>
      </c>
      <c r="K15" s="109"/>
      <c r="L15" s="170"/>
      <c r="M15" s="109"/>
      <c r="N15" s="109"/>
      <c r="O15" s="70" t="s">
        <v>89</v>
      </c>
    </row>
    <row r="16" spans="1:18" ht="18.75" customHeight="1" outlineLevel="1">
      <c r="A16" s="166" t="s">
        <v>9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1239639.45</v>
      </c>
      <c r="K16" s="109"/>
      <c r="L16" s="170"/>
      <c r="M16" s="109"/>
      <c r="N16" s="109"/>
      <c r="O16" s="70" t="s">
        <v>90</v>
      </c>
    </row>
    <row r="17" spans="1:23" ht="18.75" customHeight="1" outlineLevel="1">
      <c r="A17" s="166" t="s">
        <v>10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0"/>
      <c r="M17" s="109"/>
      <c r="N17" s="109"/>
      <c r="O17" s="70" t="s">
        <v>91</v>
      </c>
    </row>
    <row r="18" spans="1:23" ht="18.75" customHeight="1" outlineLevel="1">
      <c r="A18" s="166" t="s">
        <v>11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0"/>
      <c r="M18" s="109"/>
      <c r="N18" s="109"/>
      <c r="O18" s="70" t="s">
        <v>92</v>
      </c>
    </row>
    <row r="19" spans="1:23" ht="18.75" customHeight="1" outlineLevel="1">
      <c r="A19" s="166" t="s">
        <v>12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0"/>
      <c r="M19" s="109"/>
      <c r="N19" s="109"/>
      <c r="O19" s="70" t="s">
        <v>93</v>
      </c>
    </row>
    <row r="20" spans="1:23" ht="18.75" customHeight="1" outlineLevel="1">
      <c r="A20" s="166" t="s">
        <v>13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0"/>
      <c r="M20" s="109"/>
      <c r="N20" s="109"/>
      <c r="O20" s="70" t="s">
        <v>94</v>
      </c>
    </row>
    <row r="21" spans="1:23" ht="18.75" customHeight="1" outlineLevel="1">
      <c r="A21" s="166" t="s">
        <v>14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1239639.45</v>
      </c>
      <c r="K21" s="109"/>
      <c r="L21" s="170"/>
      <c r="M21" s="109"/>
      <c r="N21" s="109"/>
      <c r="O21" s="70" t="s">
        <v>95</v>
      </c>
    </row>
    <row r="22" spans="1:23" ht="18.75" customHeight="1" outlineLevel="1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0"/>
      <c r="M22" s="109"/>
      <c r="N22" s="109"/>
      <c r="O22" s="70" t="s">
        <v>96</v>
      </c>
    </row>
    <row r="23" spans="1:23" ht="18.75" customHeight="1" outlineLevel="1">
      <c r="A23" s="166" t="s">
        <v>16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0"/>
      <c r="M23" s="109"/>
      <c r="N23" s="109"/>
      <c r="O23" s="70" t="s">
        <v>97</v>
      </c>
    </row>
    <row r="24" spans="1:23" ht="18.75" customHeight="1" outlineLevel="1">
      <c r="A24" s="166" t="s">
        <v>17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712552.90000000014</v>
      </c>
      <c r="K24" s="109"/>
      <c r="L24" s="170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3" t="s">
        <v>18</v>
      </c>
      <c r="B27" s="153"/>
      <c r="C27" s="153"/>
      <c r="D27" s="153"/>
      <c r="E27" s="153"/>
      <c r="F27" s="153" t="s">
        <v>19</v>
      </c>
      <c r="G27" s="153"/>
      <c r="H27" s="5" t="s">
        <v>56</v>
      </c>
      <c r="I27" s="153" t="s">
        <v>20</v>
      </c>
      <c r="J27" s="153"/>
      <c r="K27" s="109"/>
      <c r="L27" s="17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249179.51999999999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09"/>
      <c r="L28" s="17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47"/>
      <c r="C29" s="147"/>
      <c r="D29" s="147"/>
      <c r="E29" s="147"/>
      <c r="F29" s="148">
        <f>VLOOKUP(A29,ПТО!$A$39:$D$53,2,FALSE)</f>
        <v>261793.44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09"/>
      <c r="L29" s="171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70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107604.36000000002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09"/>
      <c r="L30" s="17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78734.880000000005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09"/>
      <c r="L31" s="17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09"/>
      <c r="L32" s="17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25588.800000000003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09"/>
      <c r="L33" s="17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101699.28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09"/>
      <c r="L34" s="17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7" t="str">
        <f>ПТО!A46</f>
        <v>Работы по содержанию лифта (лифтов)</v>
      </c>
      <c r="B35" s="147"/>
      <c r="C35" s="147"/>
      <c r="D35" s="147"/>
      <c r="E35" s="147"/>
      <c r="F35" s="148">
        <f>VLOOKUP(A35,ПТО!$A$39:$D$53,2,FALSE)</f>
        <v>135817.68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09"/>
      <c r="L35" s="171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47" t="str">
        <f>ПТО!A47</f>
        <v>Коммунальные ресурсы на содержание общего имущества</v>
      </c>
      <c r="B36" s="147"/>
      <c r="C36" s="147"/>
      <c r="D36" s="147"/>
      <c r="E36" s="147"/>
      <c r="F36" s="148">
        <f>VLOOKUP(A36,ПТО!$A$39:$D$53,2,FALSE)</f>
        <v>81737.066250000003</v>
      </c>
      <c r="G36" s="148"/>
      <c r="H36" s="42" t="str">
        <f>VLOOKUP(A36,ПТО!$A$39:$D$53,3,FALSE)</f>
        <v>Ежемесячно</v>
      </c>
      <c r="I36" s="149">
        <f>VLOOKUP(A36,ПТО!$A$39:$D$53,4,FALSE)</f>
        <v>12</v>
      </c>
      <c r="J36" s="149"/>
      <c r="K36" s="109"/>
      <c r="L36" s="171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09"/>
      <c r="L37" s="171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09"/>
      <c r="L38" s="171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09"/>
      <c r="L39" s="171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09"/>
      <c r="L40" s="171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09"/>
      <c r="L41" s="171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09"/>
      <c r="L42" s="171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48">
        <f>VLOOKUP(A43,ПТО!$A$2:$D$31,4,FALSE)</f>
        <v>16200</v>
      </c>
      <c r="G43" s="148"/>
      <c r="H43" s="19" t="str">
        <f>VLOOKUP(A43,ПТО!$A$2:$D$31,2,FALSE)</f>
        <v>ежегодно</v>
      </c>
      <c r="I43" s="149">
        <f>VLOOKUP(A43,ПТО!$A$2:$D$31,3,FALSE)</f>
        <v>2</v>
      </c>
      <c r="J43" s="149"/>
      <c r="K43" s="109"/>
      <c r="L43" s="171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7" t="str">
        <f>ПТО!A3</f>
        <v>Механезированная уборка и вывоз снега с придомовой территории.</v>
      </c>
      <c r="B44" s="147"/>
      <c r="C44" s="147"/>
      <c r="D44" s="147"/>
      <c r="E44" s="147"/>
      <c r="F44" s="148">
        <f>VLOOKUP(A44,ПТО!$A$2:$D$31,4,FALSE)</f>
        <v>49000</v>
      </c>
      <c r="G44" s="148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09"/>
      <c r="L44" s="171"/>
      <c r="M44" s="116"/>
      <c r="N44" s="109"/>
      <c r="O44" s="23" t="str">
        <f t="shared" si="1"/>
        <v>Механезированная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47" t="str">
        <f>ПТО!A4</f>
        <v>Приобретение и установка ОДПУ ХВС.</v>
      </c>
      <c r="B45" s="147"/>
      <c r="C45" s="147"/>
      <c r="D45" s="147"/>
      <c r="E45" s="147"/>
      <c r="F45" s="148">
        <f>VLOOKUP(A45,ПТО!$A$2:$D$31,4,FALSE)</f>
        <v>17600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09"/>
      <c r="L45" s="171"/>
      <c r="M45" s="116"/>
      <c r="N45" s="109"/>
      <c r="O45" s="23" t="str">
        <f t="shared" si="1"/>
        <v>Приобретение и установка ОДПУ ХВС.</v>
      </c>
      <c r="R45" s="22" t="s">
        <v>71</v>
      </c>
    </row>
    <row r="46" spans="1:18" ht="51" customHeight="1" outlineLevel="1">
      <c r="A46" s="147" t="str">
        <f>ПТО!A5</f>
        <v>Замена блока питания и разъема на наружной камере системы видеонаблюдения.</v>
      </c>
      <c r="B46" s="147"/>
      <c r="C46" s="147"/>
      <c r="D46" s="147"/>
      <c r="E46" s="147"/>
      <c r="F46" s="148">
        <f>VLOOKUP(A46,ПТО!$A$2:$D$31,4,FALSE)</f>
        <v>3500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09"/>
      <c r="L46" s="171"/>
      <c r="M46" s="116"/>
      <c r="N46" s="109"/>
      <c r="O46" s="23" t="str">
        <f t="shared" si="1"/>
        <v>Замена блока питания и разъема на наружной камере системы видеонаблюдения.</v>
      </c>
      <c r="R46" s="22" t="s">
        <v>71</v>
      </c>
    </row>
    <row r="47" spans="1:18" ht="51" customHeight="1" outlineLevel="1">
      <c r="A47" s="147" t="str">
        <f>ПТО!A6</f>
        <v>Замена АКБ аварийного освещения лифта.</v>
      </c>
      <c r="B47" s="147"/>
      <c r="C47" s="147"/>
      <c r="D47" s="147"/>
      <c r="E47" s="147"/>
      <c r="F47" s="148">
        <f>VLOOKUP(A47,ПТО!$A$2:$D$31,4,FALSE)</f>
        <v>794</v>
      </c>
      <c r="G47" s="148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09"/>
      <c r="L47" s="171"/>
      <c r="M47" s="116"/>
      <c r="N47" s="109"/>
      <c r="O47" s="23" t="str">
        <f t="shared" si="1"/>
        <v>Замена АКБ аварийного освещения лифта.</v>
      </c>
      <c r="R47" s="22" t="s">
        <v>71</v>
      </c>
    </row>
    <row r="48" spans="1:18" ht="51" customHeight="1" outlineLevel="1">
      <c r="A48" s="147" t="str">
        <f>ПТО!A7</f>
        <v>Частичный ремонт кровли.</v>
      </c>
      <c r="B48" s="147"/>
      <c r="C48" s="147"/>
      <c r="D48" s="147"/>
      <c r="E48" s="147"/>
      <c r="F48" s="148">
        <f>VLOOKUP(A48,ПТО!$A$2:$D$31,4,FALSE)</f>
        <v>870136</v>
      </c>
      <c r="G48" s="148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09"/>
      <c r="L48" s="171"/>
      <c r="M48" s="116"/>
      <c r="N48" s="109"/>
      <c r="O48" s="23" t="str">
        <f t="shared" si="1"/>
        <v>Частичный ремонт кровли.</v>
      </c>
      <c r="R48" s="22" t="s">
        <v>71</v>
      </c>
    </row>
    <row r="49" spans="1:18" ht="51" customHeight="1" outlineLevel="1">
      <c r="A49" s="147" t="str">
        <f>ПТО!A8</f>
        <v>Частичная установка обрешетки на кровлю.</v>
      </c>
      <c r="B49" s="147"/>
      <c r="C49" s="147"/>
      <c r="D49" s="147"/>
      <c r="E49" s="147"/>
      <c r="F49" s="148">
        <f>VLOOKUP(A49,ПТО!$A$2:$D$31,4,FALSE)</f>
        <v>144700</v>
      </c>
      <c r="G49" s="148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09"/>
      <c r="L49" s="171"/>
      <c r="M49" s="116"/>
      <c r="N49" s="109"/>
      <c r="O49" s="23" t="str">
        <f t="shared" si="1"/>
        <v>Частичная установка обрешетки на кровлю.</v>
      </c>
      <c r="R49" s="22" t="s">
        <v>71</v>
      </c>
    </row>
    <row r="50" spans="1:18" ht="51" customHeight="1" outlineLevel="1">
      <c r="A50" s="147" t="str">
        <f>ПТО!A9</f>
        <v>Замена блока питания на приборе учета тепловой энергии.</v>
      </c>
      <c r="B50" s="147"/>
      <c r="C50" s="147"/>
      <c r="D50" s="147"/>
      <c r="E50" s="147"/>
      <c r="F50" s="148">
        <f>VLOOKUP(A50,ПТО!$A$2:$D$31,4,FALSE)</f>
        <v>4616</v>
      </c>
      <c r="G50" s="148"/>
      <c r="H50" s="25" t="str">
        <f>VLOOKUP(A50,ПТО!$A$2:$D$31,2,FALSE)</f>
        <v>разово</v>
      </c>
      <c r="I50" s="149">
        <f>VLOOKUP(A50,ПТО!$A$2:$D$31,3,FALSE)</f>
        <v>1</v>
      </c>
      <c r="J50" s="149"/>
      <c r="K50" s="109"/>
      <c r="L50" s="171"/>
      <c r="M50" s="116"/>
      <c r="N50" s="109"/>
      <c r="O50" s="23" t="str">
        <f t="shared" si="1"/>
        <v>Замена блока питания на приборе учета тепловой энергии.</v>
      </c>
      <c r="R50" s="22" t="s">
        <v>71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09"/>
      <c r="L51" s="171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09"/>
      <c r="L52" s="171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09"/>
      <c r="L53" s="171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09"/>
      <c r="L54" s="171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09"/>
      <c r="L55" s="171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09"/>
      <c r="L56" s="171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09"/>
      <c r="L57" s="171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09"/>
      <c r="L58" s="171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09"/>
      <c r="L59" s="171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09"/>
      <c r="L60" s="171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09"/>
      <c r="L61" s="171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09"/>
      <c r="L62" s="171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09"/>
      <c r="L63" s="171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09"/>
      <c r="L64" s="171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09"/>
      <c r="L65" s="171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09"/>
      <c r="L66" s="171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09"/>
      <c r="L67" s="171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09"/>
      <c r="L68" s="171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09"/>
      <c r="L69" s="171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09"/>
      <c r="L70" s="171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6"/>
      <c r="L71" s="171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09"/>
      <c r="L72" s="171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5" t="s">
        <v>26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09"/>
      <c r="L75" s="154"/>
      <c r="M75" s="109"/>
      <c r="N75" s="109"/>
      <c r="O75" s="70" t="s">
        <v>99</v>
      </c>
    </row>
    <row r="76" spans="1:16384" ht="18.75" customHeight="1" outlineLevel="1">
      <c r="A76" s="165" t="s">
        <v>27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09"/>
      <c r="L76" s="154"/>
      <c r="M76" s="109"/>
      <c r="N76" s="109"/>
      <c r="O76" s="70" t="s">
        <v>100</v>
      </c>
    </row>
    <row r="77" spans="1:16384" ht="21.75" customHeight="1" outlineLevel="1">
      <c r="A77" s="165" t="s">
        <v>28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09"/>
      <c r="L77" s="154"/>
      <c r="M77" s="109"/>
      <c r="N77" s="109"/>
      <c r="O77" s="70" t="s">
        <v>101</v>
      </c>
    </row>
    <row r="78" spans="1:16384" ht="18.75" customHeight="1" outlineLevel="1">
      <c r="A78" s="165" t="s">
        <v>29</v>
      </c>
      <c r="B78" s="165"/>
      <c r="C78" s="165"/>
      <c r="D78" s="165"/>
      <c r="E78" s="165"/>
      <c r="F78" s="165"/>
      <c r="G78" s="165"/>
      <c r="H78" s="165"/>
      <c r="I78" s="165"/>
      <c r="J78" s="97">
        <f>VLOOKUP(O78,АО,3,FALSE)</f>
        <v>0</v>
      </c>
      <c r="K78" s="109"/>
      <c r="L78" s="154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5" t="s">
        <v>1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72"/>
      <c r="M81" s="109"/>
      <c r="N81" s="109"/>
      <c r="O81" s="70" t="s">
        <v>103</v>
      </c>
    </row>
    <row r="82" spans="1:15" outlineLevel="1">
      <c r="A82" s="155" t="s">
        <v>2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72"/>
      <c r="M82" s="109"/>
      <c r="N82" s="109"/>
      <c r="O82" s="70" t="s">
        <v>104</v>
      </c>
    </row>
    <row r="83" spans="1:15" outlineLevel="1">
      <c r="A83" s="162" t="s">
        <v>3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227049.06</v>
      </c>
      <c r="K83" s="109"/>
      <c r="L83" s="172"/>
      <c r="M83" s="109"/>
      <c r="N83" s="109"/>
      <c r="O83" s="70" t="s">
        <v>105</v>
      </c>
    </row>
    <row r="84" spans="1:15" outlineLevel="1">
      <c r="A84" s="162" t="s">
        <v>15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09"/>
      <c r="L84" s="172"/>
      <c r="M84" s="109"/>
      <c r="N84" s="109"/>
      <c r="O84" s="70" t="s">
        <v>106</v>
      </c>
    </row>
    <row r="85" spans="1:15" outlineLevel="1">
      <c r="A85" s="162" t="s">
        <v>16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09"/>
      <c r="L85" s="172"/>
      <c r="M85" s="109"/>
      <c r="N85" s="109"/>
      <c r="O85" s="70" t="s">
        <v>107</v>
      </c>
    </row>
    <row r="86" spans="1:15" outlineLevel="1">
      <c r="A86" s="162" t="s">
        <v>17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209876.73</v>
      </c>
      <c r="K86" s="109"/>
      <c r="L86" s="172"/>
      <c r="M86" s="109"/>
      <c r="N86" s="109"/>
      <c r="O86" s="70" t="s">
        <v>108</v>
      </c>
    </row>
    <row r="87" spans="1:15" ht="18.75" customHeight="1" outlineLevel="1">
      <c r="A87" s="162" t="s">
        <v>26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09"/>
      <c r="L87" s="172"/>
      <c r="M87" s="109"/>
      <c r="N87" s="109"/>
      <c r="O87" s="70" t="s">
        <v>109</v>
      </c>
    </row>
    <row r="88" spans="1:15" ht="18.75" customHeight="1" outlineLevel="1">
      <c r="A88" s="162" t="s">
        <v>27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09"/>
      <c r="L88" s="172"/>
      <c r="M88" s="109"/>
      <c r="N88" s="109"/>
      <c r="O88" s="70" t="s">
        <v>110</v>
      </c>
    </row>
    <row r="89" spans="1:15" ht="18.75" customHeight="1" outlineLevel="1">
      <c r="A89" s="162" t="s">
        <v>28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09"/>
      <c r="L89" s="172"/>
      <c r="M89" s="109"/>
      <c r="N89" s="109"/>
      <c r="O89" s="70" t="s">
        <v>111</v>
      </c>
    </row>
    <row r="90" spans="1:15" ht="18.75" customHeight="1" outlineLevel="1">
      <c r="A90" s="162" t="s">
        <v>29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09"/>
      <c r="L90" s="17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6" t="s">
        <v>47</v>
      </c>
      <c r="B93" s="156"/>
      <c r="C93" s="156"/>
      <c r="D93" s="159" t="s">
        <v>48</v>
      </c>
      <c r="E93" s="159"/>
      <c r="F93" s="10" t="s">
        <v>49</v>
      </c>
      <c r="G93" s="156" t="s">
        <v>50</v>
      </c>
      <c r="H93" s="156"/>
      <c r="I93" s="156"/>
      <c r="J93" s="156"/>
      <c r="K93" s="109"/>
      <c r="L93" s="109"/>
      <c r="M93" s="109"/>
      <c r="N93" s="109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7">
        <f>VLOOKUP("эл",АО,5,FALSE)</f>
        <v>46723.78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outlineLevel="2">
      <c r="A95" s="161" t="str">
        <f>IF(VLOOKUP("эл",АО,3,FALSE)&gt;0,VLOOKUP("эл1",АО,2,FALSE),0)</f>
        <v>Общий объем потребления, нат. показ.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38936.480000000003</v>
      </c>
      <c r="L95" s="173"/>
      <c r="O95" s="1" t="s">
        <v>113</v>
      </c>
    </row>
    <row r="96" spans="1:15" outlineLevel="2">
      <c r="A96" s="161" t="str">
        <f>IF(VLOOKUP("эл",АО,3,FALSE)&gt;0,VLOOKUP("эл2",АО,2,FALSE),0)</f>
        <v>Оплачено потребителями, руб.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53449.02</v>
      </c>
      <c r="L96" s="173"/>
      <c r="O96" s="1" t="s">
        <v>114</v>
      </c>
    </row>
    <row r="97" spans="1:15" outlineLevel="2">
      <c r="A97" s="161" t="str">
        <f>IF(VLOOKUP("эл",АО,3,FALSE)&gt;0,VLOOKUP("эл3",АО,2,FALSE),0)</f>
        <v>Задолженность потребителей, руб.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0</v>
      </c>
      <c r="L97" s="173"/>
      <c r="O97" s="1" t="s">
        <v>115</v>
      </c>
    </row>
    <row r="98" spans="1:15" ht="37.5" customHeight="1" outlineLevel="2">
      <c r="A98" s="161" t="str">
        <f>IF(VLOOKUP("эл",АО,3,FALSE)&gt;0,VLOOKUP("эл4",АО,2,FALSE),0)</f>
        <v>Начислено поставщиком (поставщиками) коммунального ресурса, руб.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46723.78</v>
      </c>
      <c r="L98" s="173"/>
      <c r="O98" s="1" t="s">
        <v>116</v>
      </c>
    </row>
    <row r="99" spans="1:15" outlineLevel="2">
      <c r="A99" s="161" t="str">
        <f>IF(VLOOKUP("эл",АО,3,FALSE)&gt;0,VLOOKUP("эл5",АО,2,FALSE),0)</f>
        <v>Оплачено поставщику (поставщикам) коммунального ресурса, руб.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46723.78</v>
      </c>
      <c r="L99" s="173"/>
      <c r="O99" s="1" t="s">
        <v>117</v>
      </c>
    </row>
    <row r="100" spans="1:15" ht="39" customHeight="1" outlineLevel="2">
      <c r="A100" s="16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118</v>
      </c>
    </row>
    <row r="101" spans="1:15" ht="34.5" customHeight="1" outlineLevel="2">
      <c r="A101" s="16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119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138336.73000000001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10480.06</v>
      </c>
      <c r="L103" s="173"/>
      <c r="O103" s="1" t="s">
        <v>122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138856.07</v>
      </c>
      <c r="L104" s="173"/>
      <c r="O104" s="1" t="s">
        <v>123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0</v>
      </c>
      <c r="L105" s="173"/>
      <c r="O105" s="1" t="s">
        <v>124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138336.73000000001</v>
      </c>
      <c r="L106" s="173"/>
      <c r="O106" s="1" t="s">
        <v>125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138336.73000000001</v>
      </c>
      <c r="L107" s="173"/>
      <c r="O107" s="1" t="s">
        <v>126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127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128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270421.71999999997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16859.21</v>
      </c>
      <c r="L111" s="173"/>
      <c r="O111" s="1" t="s">
        <v>130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275146.71000000002</v>
      </c>
      <c r="L112" s="173"/>
      <c r="O112" s="1" t="s">
        <v>131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0</v>
      </c>
      <c r="L113" s="173"/>
      <c r="O113" s="1" t="s">
        <v>132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270421.71999999997</v>
      </c>
      <c r="L114" s="173"/>
      <c r="O114" s="1" t="s">
        <v>133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270421.71999999997</v>
      </c>
      <c r="L115" s="173"/>
      <c r="O115" s="1" t="s">
        <v>134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135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136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7">
        <f>VLOOKUP("тко",АО,5,FALSE)</f>
        <v>234030.62</v>
      </c>
      <c r="H118" s="158"/>
      <c r="I118" s="158"/>
      <c r="J118" s="158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435.11</v>
      </c>
      <c r="L119" s="47"/>
      <c r="O119" s="1" t="s">
        <v>138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236930.32</v>
      </c>
      <c r="L120" s="47"/>
      <c r="O120" s="1" t="s">
        <v>139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234030.62</v>
      </c>
      <c r="L122" s="47"/>
      <c r="O122" s="1" t="s">
        <v>141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234030.62</v>
      </c>
      <c r="L123" s="47"/>
      <c r="O123" s="1" t="s">
        <v>142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60" t="str">
        <f>IF(VLOOKUP("гвс",АО,3,FALSE)&gt;0,"Горячее водоснабжение",0)</f>
        <v>Горячее водоснабжение</v>
      </c>
      <c r="B126" s="160"/>
      <c r="C126" s="160"/>
      <c r="D126" s="158" t="str">
        <f>IF(VLOOKUP("гвс",АО,3,FALSE)&gt;0,VLOOKUP("гвс",АО,3,FALSE),0)</f>
        <v>Предоставляется</v>
      </c>
      <c r="E126" s="158"/>
      <c r="F126" s="13" t="str">
        <f>IF(VLOOKUP("гвс",АО,3,FALSE)&gt;0,VLOOKUP("гвс",АО,4,FALSE),0)</f>
        <v>куб.м.</v>
      </c>
      <c r="G126" s="157">
        <f>VLOOKUP("гвс",АО,5,FALSE)</f>
        <v>80112.539999999994</v>
      </c>
      <c r="H126" s="158"/>
      <c r="I126" s="158"/>
      <c r="J126" s="158"/>
      <c r="L126" s="47"/>
    </row>
    <row r="127" spans="1:15" ht="32.25" customHeight="1" outlineLevel="2">
      <c r="A127" s="155" t="str">
        <f t="shared" ref="A127:A133" si="10">IF(VLOOKUP("гвс",АО,3,FALSE)&gt;0,VLOOKUP(O127,АО,2,FALSE),0)</f>
        <v>Общий объем потребления, нат. показ.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6069.13</v>
      </c>
      <c r="L127" s="47"/>
      <c r="O127" s="1" t="s">
        <v>146</v>
      </c>
    </row>
    <row r="128" spans="1:15" ht="32.25" customHeight="1" outlineLevel="2">
      <c r="A128" s="155" t="str">
        <f t="shared" si="10"/>
        <v>Оплачено потребителями, руб.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82415.600000000006</v>
      </c>
      <c r="L128" s="47"/>
      <c r="O128" s="1" t="s">
        <v>147</v>
      </c>
    </row>
    <row r="129" spans="1:15" ht="32.25" customHeight="1" outlineLevel="2">
      <c r="A129" s="155" t="str">
        <f t="shared" si="10"/>
        <v>Задолженность потребителей, руб.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5" t="str">
        <f t="shared" si="10"/>
        <v>Начислено поставщиком (поставщиками) коммунального ресурса, руб.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80112.539999999994</v>
      </c>
      <c r="L130" s="47"/>
      <c r="O130" s="1" t="s">
        <v>149</v>
      </c>
    </row>
    <row r="131" spans="1:15" ht="32.25" customHeight="1" outlineLevel="2">
      <c r="A131" s="155" t="str">
        <f t="shared" si="10"/>
        <v>Оплачено поставщику (поставщикам) коммунального ресурса, руб.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80112.539999999994</v>
      </c>
      <c r="L131" s="47"/>
      <c r="O131" s="1" t="s">
        <v>150</v>
      </c>
    </row>
    <row r="132" spans="1:15" ht="32.25" customHeight="1" outlineLevel="2">
      <c r="A132" s="155" t="str">
        <f t="shared" si="10"/>
        <v>Задолженность перед поставщиком (поставщиками) коммунального ресурса, руб.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5" t="str">
        <f t="shared" si="10"/>
        <v>Размер пени и штрафов, уплаченных поставщику (поставщикам) коммунального ресурса, руб.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5" t="s">
        <v>44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170</v>
      </c>
    </row>
    <row r="145" spans="1:15" ht="18.75" customHeight="1" outlineLevel="1">
      <c r="A145" s="155" t="s">
        <v>45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55" t="s">
        <v>173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24212.38</v>
      </c>
      <c r="O146" t="s">
        <v>172</v>
      </c>
    </row>
    <row r="149" spans="1:15" ht="52.5" customHeight="1">
      <c r="A149" s="151" t="s">
        <v>177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50" t="s">
        <v>182</v>
      </c>
      <c r="B154" s="150"/>
      <c r="C154" s="150"/>
      <c r="D154" s="150"/>
      <c r="E154" s="27">
        <f>ПТО!G1</f>
        <v>-459229.86</v>
      </c>
    </row>
    <row r="155" spans="1:15" ht="34.5" customHeight="1">
      <c r="A155" s="152" t="s">
        <v>186</v>
      </c>
      <c r="B155" s="152"/>
      <c r="C155" s="152"/>
      <c r="D155" s="152"/>
      <c r="E155" s="28">
        <f>J13</f>
        <v>262449.59999999998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18</v>
      </c>
      <c r="B157" s="153"/>
      <c r="C157" s="153"/>
      <c r="D157" s="153"/>
      <c r="E157" s="153"/>
      <c r="F157" s="153" t="s">
        <v>19</v>
      </c>
      <c r="G157" s="153"/>
      <c r="H157" s="20" t="s">
        <v>56</v>
      </c>
      <c r="I157" s="153" t="s">
        <v>20</v>
      </c>
      <c r="J157" s="153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16200</v>
      </c>
      <c r="G158" s="148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2</v>
      </c>
      <c r="J158" s="149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Механезированная уборка и вывоз снега с придомовой территории.</v>
      </c>
      <c r="B159" s="147"/>
      <c r="C159" s="147"/>
      <c r="D159" s="147"/>
      <c r="E159" s="147"/>
      <c r="F159" s="148">
        <f t="shared" si="15"/>
        <v>49000</v>
      </c>
      <c r="G159" s="148"/>
      <c r="H159" s="24" t="str">
        <f t="shared" si="16"/>
        <v>разово</v>
      </c>
      <c r="I159" s="149">
        <f t="shared" si="17"/>
        <v>1</v>
      </c>
      <c r="J159" s="149"/>
      <c r="M159" s="22" t="s">
        <v>71</v>
      </c>
      <c r="N159" s="1" t="str">
        <v>Механезированная уборка и вывоз снега с придомовой территории.</v>
      </c>
    </row>
    <row r="160" spans="1:15" ht="28.5" customHeight="1">
      <c r="A160" s="147" t="str">
        <f t="shared" si="14"/>
        <v>Приобретение и установка ОДПУ ХВС.</v>
      </c>
      <c r="B160" s="147"/>
      <c r="C160" s="147"/>
      <c r="D160" s="147"/>
      <c r="E160" s="147"/>
      <c r="F160" s="148">
        <f t="shared" si="15"/>
        <v>17600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71</v>
      </c>
      <c r="N160" s="1" t="str">
        <v>Приобретение и установка ОДПУ ХВС.</v>
      </c>
    </row>
    <row r="161" spans="1:14" ht="28.5" customHeight="1">
      <c r="A161" s="147" t="str">
        <f>IF(N161&gt;0,N161,0)</f>
        <v>Замена блока питания и разъема на наружной камере системы видеонаблюдения.</v>
      </c>
      <c r="B161" s="147"/>
      <c r="C161" s="147"/>
      <c r="D161" s="147"/>
      <c r="E161" s="147"/>
      <c r="F161" s="148">
        <f t="shared" si="15"/>
        <v>3500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71</v>
      </c>
      <c r="N161" s="1" t="str">
        <v>Замена блока питания и разъема на наружной камере системы видеонаблюдения.</v>
      </c>
    </row>
    <row r="162" spans="1:14" ht="28.5" customHeight="1">
      <c r="A162" s="147" t="str">
        <f t="shared" si="14"/>
        <v>Замена АКБ аварийного освещения лифта.</v>
      </c>
      <c r="B162" s="147"/>
      <c r="C162" s="147"/>
      <c r="D162" s="147"/>
      <c r="E162" s="147"/>
      <c r="F162" s="148">
        <f t="shared" si="15"/>
        <v>794</v>
      </c>
      <c r="G162" s="148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71</v>
      </c>
      <c r="N162" s="1" t="str">
        <v>Замена АКБ аварийного освещения лифта.</v>
      </c>
    </row>
    <row r="163" spans="1:14" ht="28.5" customHeight="1">
      <c r="A163" s="147" t="str">
        <f t="shared" si="14"/>
        <v>Частичный ремонт кровли.</v>
      </c>
      <c r="B163" s="147"/>
      <c r="C163" s="147"/>
      <c r="D163" s="147"/>
      <c r="E163" s="147"/>
      <c r="F163" s="148">
        <f t="shared" si="15"/>
        <v>870136</v>
      </c>
      <c r="G163" s="148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71</v>
      </c>
      <c r="N163" s="1" t="str">
        <v>Частичный ремонт кровли.</v>
      </c>
    </row>
    <row r="164" spans="1:14" ht="28.5" customHeight="1">
      <c r="A164" s="147" t="str">
        <f t="shared" ref="A164:A187" si="18">IF(N164&gt;0,N164,0)</f>
        <v>Частичная установка обрешетки на кровлю.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144700</v>
      </c>
      <c r="G164" s="148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71</v>
      </c>
      <c r="N164" s="1" t="str">
        <v>Частичная установка обрешетки на кровлю.</v>
      </c>
    </row>
    <row r="165" spans="1:14" ht="28.5" customHeight="1">
      <c r="A165" s="147" t="str">
        <f t="shared" si="18"/>
        <v>Замена блока питания на приборе учета тепловой энергии.</v>
      </c>
      <c r="B165" s="147"/>
      <c r="C165" s="147"/>
      <c r="D165" s="147"/>
      <c r="E165" s="147"/>
      <c r="F165" s="148">
        <f t="shared" si="19"/>
        <v>4616</v>
      </c>
      <c r="G165" s="148"/>
      <c r="H165" s="29" t="str">
        <f t="shared" si="16"/>
        <v>разово</v>
      </c>
      <c r="I165" s="149">
        <f t="shared" si="20"/>
        <v>1</v>
      </c>
      <c r="J165" s="149"/>
      <c r="M165" s="22" t="s">
        <v>71</v>
      </c>
      <c r="N165" s="1" t="str">
        <v>Замена блока питания на приборе учета тепловой энергии.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71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71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71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71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71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71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71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71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71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71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71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71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71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71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71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71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71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71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71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71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71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0" t="s">
        <v>185</v>
      </c>
      <c r="B190" s="150"/>
      <c r="C190" s="150"/>
      <c r="D190" s="150"/>
      <c r="E190" s="27">
        <f>SUM(F158:G187)</f>
        <v>1106546</v>
      </c>
    </row>
    <row r="191" spans="1:14" ht="51.75" customHeight="1">
      <c r="A191" s="150" t="s">
        <v>184</v>
      </c>
      <c r="B191" s="150"/>
      <c r="C191" s="150"/>
      <c r="D191" s="150"/>
      <c r="E191" s="27">
        <f>E190+E154-E155</f>
        <v>384866.54000000004</v>
      </c>
    </row>
    <row r="192" spans="1:14">
      <c r="A192" s="104" t="s">
        <v>174</v>
      </c>
    </row>
    <row r="193" spans="1:10" ht="62.25" customHeight="1">
      <c r="A193" s="175" t="s">
        <v>183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4" t="str">
        <f>ПТО!F12</f>
        <v xml:space="preserve">  -  поверка (замена) манометров и термометров</v>
      </c>
      <c r="B194" s="174"/>
      <c r="C194" s="174"/>
      <c r="D194" s="174"/>
      <c r="E194" s="174"/>
      <c r="F194" s="174"/>
      <c r="G194" s="174"/>
      <c r="H194" s="49">
        <f>ПТО!G12</f>
        <v>1200</v>
      </c>
      <c r="I194" s="50" t="s">
        <v>74</v>
      </c>
    </row>
    <row r="195" spans="1:10" ht="18.75" customHeight="1">
      <c r="A195" s="174" t="str">
        <f>ПТО!F13</f>
        <v xml:space="preserve">  -  техническое освидетельствование лифта</v>
      </c>
      <c r="B195" s="174"/>
      <c r="C195" s="174"/>
      <c r="D195" s="174"/>
      <c r="E195" s="174"/>
      <c r="F195" s="174"/>
      <c r="G195" s="174"/>
      <c r="H195" s="49">
        <f>ПТО!G13</f>
        <v>16200</v>
      </c>
      <c r="I195" s="50" t="s">
        <v>74</v>
      </c>
    </row>
    <row r="196" spans="1:10" ht="18.75" hidden="1" customHeight="1">
      <c r="A196" s="174">
        <f>ПТО!F14</f>
        <v>0</v>
      </c>
      <c r="B196" s="174"/>
      <c r="C196" s="174"/>
      <c r="D196" s="174"/>
      <c r="E196" s="174"/>
      <c r="F196" s="174"/>
      <c r="G196" s="174"/>
      <c r="H196" s="49">
        <f>ПТО!G14</f>
        <v>0</v>
      </c>
      <c r="I196" s="50" t="s">
        <v>74</v>
      </c>
    </row>
    <row r="197" spans="1:10" ht="18.75" hidden="1" customHeight="1">
      <c r="A197" s="174">
        <f>ПТО!F15</f>
        <v>0</v>
      </c>
      <c r="B197" s="174"/>
      <c r="C197" s="174"/>
      <c r="D197" s="174"/>
      <c r="E197" s="174"/>
      <c r="F197" s="174"/>
      <c r="G197" s="174"/>
      <c r="H197" s="49">
        <f>ПТО!G15</f>
        <v>0</v>
      </c>
      <c r="I197" s="50" t="s">
        <v>74</v>
      </c>
    </row>
    <row r="198" spans="1:10" ht="18.75" hidden="1" customHeight="1">
      <c r="A198" s="174">
        <f>ПТО!F16</f>
        <v>0</v>
      </c>
      <c r="B198" s="174"/>
      <c r="C198" s="174"/>
      <c r="D198" s="174"/>
      <c r="E198" s="174"/>
      <c r="F198" s="174"/>
      <c r="G198" s="174"/>
      <c r="H198" s="49">
        <f>ПТО!G16</f>
        <v>0</v>
      </c>
      <c r="I198" s="52" t="s">
        <v>74</v>
      </c>
    </row>
    <row r="199" spans="1:10" ht="18.75" hidden="1" customHeight="1">
      <c r="A199" s="174">
        <f>ПТО!F17</f>
        <v>0</v>
      </c>
      <c r="B199" s="174"/>
      <c r="C199" s="174"/>
      <c r="D199" s="174"/>
      <c r="E199" s="174"/>
      <c r="F199" s="174"/>
      <c r="G199" s="174"/>
      <c r="H199" s="49">
        <f>ПТО!G17</f>
        <v>0</v>
      </c>
      <c r="I199" s="50" t="s">
        <v>74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49">
        <f>ПТО!G18</f>
        <v>0</v>
      </c>
      <c r="I200" s="50" t="s">
        <v>74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49">
        <f>ПТО!G19</f>
        <v>0</v>
      </c>
      <c r="I201" s="50" t="s">
        <v>74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49">
        <f>ПТО!G20</f>
        <v>0</v>
      </c>
      <c r="I202" s="50" t="s">
        <v>74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49">
        <f>ПТО!G21</f>
        <v>0</v>
      </c>
      <c r="I203" s="50" t="s">
        <v>74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49">
        <f>ПТО!G22</f>
        <v>0</v>
      </c>
      <c r="I204" s="50" t="s">
        <v>74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49">
        <f>ПТО!G23</f>
        <v>0</v>
      </c>
      <c r="I205" s="50" t="s">
        <v>74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49">
        <f>ПТО!G24</f>
        <v>0</v>
      </c>
      <c r="I206" s="50" t="s">
        <v>74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49">
        <f>ПТО!G25</f>
        <v>0</v>
      </c>
      <c r="I207" s="50" t="s">
        <v>74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49">
        <f>ПТО!G26</f>
        <v>0</v>
      </c>
      <c r="I208" s="50" t="s">
        <v>74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49">
        <f>ПТО!G27</f>
        <v>0</v>
      </c>
      <c r="I209" s="50" t="s">
        <v>74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49">
        <f>ПТО!G28</f>
        <v>0</v>
      </c>
      <c r="I210" s="50" t="s">
        <v>74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49">
        <f>ПТО!G29</f>
        <v>0</v>
      </c>
      <c r="I211" s="50" t="s">
        <v>74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49">
        <f>ПТО!G30</f>
        <v>0</v>
      </c>
      <c r="I212" s="50" t="s">
        <v>74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17400</v>
      </c>
      <c r="I214" s="56" t="s">
        <v>77</v>
      </c>
    </row>
  </sheetData>
  <sheetProtection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:F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182</v>
      </c>
      <c r="G1" s="101">
        <f>-459229.86</f>
        <v>-459229.86</v>
      </c>
    </row>
    <row r="2" spans="1:12" ht="18.75" customHeight="1">
      <c r="A2" s="120" t="s">
        <v>72</v>
      </c>
      <c r="B2" s="119" t="s">
        <v>179</v>
      </c>
      <c r="C2" s="119">
        <v>2</v>
      </c>
      <c r="D2" s="145">
        <v>16200</v>
      </c>
      <c r="E2" s="146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187</v>
      </c>
      <c r="B3" s="126" t="s">
        <v>188</v>
      </c>
      <c r="C3" s="126">
        <v>1</v>
      </c>
      <c r="D3" s="128">
        <v>49000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130" t="s">
        <v>190</v>
      </c>
      <c r="B4" s="131" t="s">
        <v>188</v>
      </c>
      <c r="C4" s="119">
        <v>1</v>
      </c>
      <c r="D4" s="121">
        <v>17600</v>
      </c>
      <c r="E4" s="132" t="s">
        <v>191</v>
      </c>
      <c r="F4" s="30"/>
      <c r="G4" s="30"/>
      <c r="L4" s="33" t="str">
        <f t="shared" si="0"/>
        <v>ТР</v>
      </c>
    </row>
    <row r="5" spans="1:12" ht="18.75" customHeight="1">
      <c r="A5" s="125" t="s">
        <v>192</v>
      </c>
      <c r="B5" s="126" t="s">
        <v>188</v>
      </c>
      <c r="C5" s="127">
        <v>1</v>
      </c>
      <c r="D5" s="128">
        <v>3500</v>
      </c>
      <c r="E5" s="129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194</v>
      </c>
      <c r="B6" s="133" t="s">
        <v>188</v>
      </c>
      <c r="C6" s="134">
        <v>1</v>
      </c>
      <c r="D6" s="46">
        <v>794</v>
      </c>
      <c r="E6" s="44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0" t="s">
        <v>196</v>
      </c>
      <c r="B7" s="135" t="s">
        <v>188</v>
      </c>
      <c r="C7" s="136">
        <v>1</v>
      </c>
      <c r="D7" s="121">
        <v>870136</v>
      </c>
      <c r="E7" s="137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20" t="s">
        <v>198</v>
      </c>
      <c r="B8" s="138" t="s">
        <v>188</v>
      </c>
      <c r="C8" s="119">
        <v>1</v>
      </c>
      <c r="D8" s="121">
        <v>144700</v>
      </c>
      <c r="E8" s="137" t="s">
        <v>199</v>
      </c>
      <c r="F8" s="45"/>
      <c r="G8" s="45"/>
      <c r="K8" s="43"/>
      <c r="L8" s="33" t="str">
        <f t="shared" si="0"/>
        <v>ТР</v>
      </c>
    </row>
    <row r="9" spans="1:12">
      <c r="A9" s="120" t="s">
        <v>200</v>
      </c>
      <c r="B9" s="139" t="s">
        <v>188</v>
      </c>
      <c r="C9" s="119">
        <v>1</v>
      </c>
      <c r="D9" s="121">
        <v>4616</v>
      </c>
      <c r="E9" s="140" t="s">
        <v>201</v>
      </c>
      <c r="F9" s="44"/>
      <c r="G9" s="44"/>
      <c r="K9" s="43"/>
      <c r="L9" s="33" t="str">
        <f t="shared" si="0"/>
        <v>ТР</v>
      </c>
    </row>
    <row r="10" spans="1:12">
      <c r="A10" s="120"/>
      <c r="B10" s="119"/>
      <c r="C10" s="119"/>
      <c r="D10" s="121"/>
      <c r="E10" s="123"/>
      <c r="L10" s="33">
        <f t="shared" si="0"/>
        <v>0</v>
      </c>
    </row>
    <row r="11" spans="1:12" ht="94.5">
      <c r="A11" s="120"/>
      <c r="B11" s="119"/>
      <c r="C11" s="119"/>
      <c r="D11" s="121"/>
      <c r="E11" s="124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16200</v>
      </c>
      <c r="L13" s="33">
        <f t="shared" si="0"/>
        <v>0</v>
      </c>
    </row>
    <row r="14" spans="1:12" ht="15.75">
      <c r="A14" s="30"/>
      <c r="F14" s="112"/>
      <c r="G14" s="113"/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22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249179.51999999999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249179.51999999999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261793.44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261793.44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107604.36000000002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107604.36000000002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78734.880000000005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78734.880000000005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25588.800000000003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25588.800000000003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8">
        <v>101699.28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101699.28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135817.68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135817.68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202</v>
      </c>
      <c r="B47" s="141">
        <f>(E47*3.48*1.23*6+E47*3.48*1.17*6)+(F47*0.075*13.45*6+F47*0.075*12.94*6)+(F47*0.075*16.35*6+F47*0.075*15.73*6)</f>
        <v>81737.066250000003</v>
      </c>
      <c r="C47" s="142" t="s">
        <v>67</v>
      </c>
      <c r="D47" s="48">
        <v>12</v>
      </c>
      <c r="E47" s="141">
        <v>1142</v>
      </c>
      <c r="F47" s="141">
        <v>931.5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81737.066250000003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37.945999999999998</v>
      </c>
      <c r="F53" s="143">
        <v>5592.7</v>
      </c>
      <c r="G53" s="144">
        <v>3.48</v>
      </c>
      <c r="H53" s="31">
        <f>G53*E47/F53</f>
        <v>0.71059774348704563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H53*53.4</f>
        <v>37.945919502208234</v>
      </c>
    </row>
    <row r="59" spans="5:16">
      <c r="E59" s="31">
        <v>0.66700000000000004</v>
      </c>
      <c r="F59" s="143">
        <v>5592.7</v>
      </c>
      <c r="G59" s="31">
        <v>7.4999999999999997E-2</v>
      </c>
      <c r="H59" s="31">
        <f>G59*F47</f>
        <v>69.862499999999997</v>
      </c>
    </row>
    <row r="60" spans="5:16">
      <c r="H60" s="31">
        <f>H59/F59</f>
        <v>1.2491730291272552E-2</v>
      </c>
    </row>
    <row r="61" spans="5:16">
      <c r="H61" s="31">
        <f>H60*53.4</f>
        <v>0.66705839755395424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9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5467.7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718976.13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1233216.22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970766.62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F1*4*12</f>
        <v>262449.59999999998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1239639.45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1239639.45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1239639.45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712552.90000000014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105</v>
      </c>
      <c r="B27" s="75" t="s">
        <v>3</v>
      </c>
      <c r="C27" s="86">
        <v>227049.06</v>
      </c>
      <c r="D27" s="81" t="s">
        <v>59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108</v>
      </c>
      <c r="B30" s="75" t="s">
        <v>17</v>
      </c>
      <c r="C30" s="86">
        <v>209876.73</v>
      </c>
      <c r="D30" s="81" t="s">
        <v>65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46723.78</v>
      </c>
      <c r="F37" s="94" t="s">
        <v>167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38936.480000000003</v>
      </c>
      <c r="D38" s="94" t="s">
        <v>165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53449.02</v>
      </c>
      <c r="D39" s="94" t="s">
        <v>166</v>
      </c>
      <c r="E39" s="68"/>
      <c r="G39" s="67"/>
      <c r="H39" s="67"/>
      <c r="L39" s="63"/>
      <c r="M39" s="176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6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46723.78</v>
      </c>
      <c r="D41" s="80" t="s">
        <v>58</v>
      </c>
      <c r="E41" s="68"/>
      <c r="G41" s="67"/>
      <c r="H41" s="67"/>
      <c r="L41" s="63"/>
      <c r="M41" s="176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46723.78</v>
      </c>
      <c r="D42" s="80" t="s">
        <v>58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138336.73000000001</v>
      </c>
      <c r="F45" s="94" t="s">
        <v>167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10480.06</v>
      </c>
      <c r="D46" s="94" t="s">
        <v>168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138856.07</v>
      </c>
      <c r="D47" s="94" t="s">
        <v>166</v>
      </c>
      <c r="E47" s="68"/>
      <c r="G47" s="67"/>
      <c r="H47" s="67"/>
      <c r="L47" s="63"/>
      <c r="M47" s="176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6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138336.73000000001</v>
      </c>
      <c r="D49" s="80" t="s">
        <v>58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138336.73000000001</v>
      </c>
      <c r="D50" s="80" t="s">
        <v>58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270421.71999999997</v>
      </c>
      <c r="F53" s="94" t="s">
        <v>167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16859.21</v>
      </c>
      <c r="D54" s="94" t="s">
        <v>168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275146.71000000002</v>
      </c>
      <c r="D55" s="94" t="s">
        <v>166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270421.71999999997</v>
      </c>
      <c r="D57" s="80" t="s">
        <v>58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270421.71999999997</v>
      </c>
      <c r="D58" s="80" t="s">
        <v>58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234030.62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435.11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236930.32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234030.62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234030.62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80112.539999999994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6069.13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82415.600000000006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80112.539999999994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80112.539999999994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B16" sqref="B1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24212.38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2022-03-31T12:58:20Z</dcterms:modified>
</cp:coreProperties>
</file>