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/>
  <c r="J120"/>
  <c r="J119"/>
  <c r="G118"/>
  <c r="J117"/>
  <c r="J112"/>
  <c r="J111"/>
  <c r="G110"/>
  <c r="J109"/>
  <c r="J104"/>
  <c r="J103"/>
  <c r="A109"/>
  <c r="A105"/>
  <c r="G102"/>
  <c r="F102"/>
  <c r="J101"/>
  <c r="J96"/>
  <c r="J95"/>
  <c r="A97"/>
  <c r="G94"/>
  <c r="K94"/>
  <c r="A117" l="1"/>
  <c r="A119"/>
  <c r="F110"/>
  <c r="A114"/>
  <c r="A113"/>
  <c r="A118"/>
  <c r="A141"/>
  <c r="A101"/>
  <c r="F134"/>
  <c r="F94"/>
  <c r="A123"/>
  <c r="A137"/>
  <c r="D118"/>
  <c r="A120"/>
  <c r="A124"/>
  <c r="F118"/>
  <c r="A121"/>
  <c r="A125"/>
  <c r="D110"/>
  <c r="A112"/>
  <c r="A116"/>
  <c r="A110"/>
  <c r="A111"/>
  <c r="A98"/>
  <c r="A94"/>
  <c r="A99"/>
  <c r="A95"/>
  <c r="D94"/>
  <c r="A96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N158" s="1" a="1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/>
  <c r="N184"/>
  <c r="A184" s="1"/>
  <c r="I184" s="1"/>
  <c r="N168"/>
  <c r="A168" s="1"/>
  <c r="I168" s="1"/>
  <c r="N181"/>
  <c r="A181" s="1"/>
  <c r="I181" s="1"/>
  <c r="N165"/>
  <c r="A165" s="1"/>
  <c r="I165" s="1"/>
  <c r="N179"/>
  <c r="A179" s="1"/>
  <c r="I179" s="1"/>
  <c r="N163"/>
  <c r="N178"/>
  <c r="A178" s="1"/>
  <c r="I178" s="1"/>
  <c r="N162"/>
  <c r="N180"/>
  <c r="A180" s="1"/>
  <c r="I180" s="1"/>
  <c r="N164"/>
  <c r="A164" s="1"/>
  <c r="I164" s="1"/>
  <c r="N177"/>
  <c r="A177" s="1"/>
  <c r="I177" s="1"/>
  <c r="N161"/>
  <c r="A161" s="1"/>
  <c r="N175"/>
  <c r="A175" s="1"/>
  <c r="I175" s="1"/>
  <c r="N159"/>
  <c r="N174"/>
  <c r="A174" s="1"/>
  <c r="I174" s="1"/>
  <c r="N176"/>
  <c r="A176" s="1"/>
  <c r="I176" s="1"/>
  <c r="N160"/>
  <c r="N173"/>
  <c r="A173" s="1"/>
  <c r="I173" s="1"/>
  <c r="N187"/>
  <c r="A187" s="1"/>
  <c r="I187" s="1"/>
  <c r="N171"/>
  <c r="A171" s="1"/>
  <c r="I171" s="1"/>
  <c r="N186"/>
  <c r="A186" s="1"/>
  <c r="I186" s="1"/>
  <c r="N170"/>
  <c r="A170" s="1"/>
  <c r="I170" s="1"/>
  <c r="N172"/>
  <c r="A172" s="1"/>
  <c r="I172" s="1"/>
  <c r="N185"/>
  <c r="A185" s="1"/>
  <c r="I185" s="1"/>
  <c r="N169"/>
  <c r="A169" s="1"/>
  <c r="I169" s="1"/>
  <c r="N183"/>
  <c r="A183" s="1"/>
  <c r="I183" s="1"/>
  <c r="N167"/>
  <c r="A167" s="1"/>
  <c r="I167" s="1"/>
  <c r="N182"/>
  <c r="A182" s="1"/>
  <c r="I182" s="1"/>
  <c r="N166"/>
  <c r="A166" s="1"/>
  <c r="I166" s="1"/>
  <c r="O28"/>
  <c r="F166" l="1"/>
  <c r="F186"/>
  <c r="H173"/>
  <c r="H186"/>
  <c r="H181"/>
  <c r="F184"/>
  <c r="H184"/>
  <c r="H183"/>
  <c r="H176"/>
  <c r="F176"/>
  <c r="H166"/>
  <c r="F183"/>
  <c r="H185"/>
  <c r="F181"/>
  <c r="F180"/>
  <c r="H175"/>
  <c r="F173"/>
  <c r="H170"/>
  <c r="F168"/>
  <c r="F174"/>
  <c r="H171"/>
  <c r="F164"/>
  <c r="H168"/>
  <c r="F165"/>
  <c r="F171"/>
  <c r="H165"/>
  <c r="H164"/>
  <c r="F167"/>
  <c r="F169"/>
  <c r="F170"/>
  <c r="H178"/>
  <c r="H180"/>
  <c r="H169"/>
  <c r="F172"/>
  <c r="F178"/>
  <c r="H182"/>
  <c r="H179"/>
  <c r="F175"/>
  <c r="F179"/>
  <c r="F177"/>
  <c r="F182"/>
  <c r="F187"/>
  <c r="H167"/>
  <c r="H187"/>
  <c r="H177"/>
  <c r="F185"/>
  <c r="H172"/>
  <c r="H174"/>
  <c r="A159"/>
  <c r="A160"/>
  <c r="A163"/>
  <c r="A162"/>
  <c r="A158"/>
  <c r="E155"/>
  <c r="H160" l="1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<sst xmlns="http://schemas.openxmlformats.org/spreadsheetml/2006/main" count="551" uniqueCount="201">
  <si>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</si>
  <si>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</si>
  <si>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</si>
  <si>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</si>
  <si>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</si>
  <si>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</si>
  <si>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</si>
  <si>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</si>
  <si>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</si>
  <si>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</si>
  <si>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</si>
  <si>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</si>
  <si>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</si>
  <si>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</si>
  <si>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</si>
  <si>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</si>
  <si>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</si>
  <si>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</si>
  <si>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</si>
  <si>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</si>
  <si>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</si>
  <si>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</si>
  <si>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</si>
  <si>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</si>
  <si>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</si>
  <si>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</si>
  <si>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</si>
  <si>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</si>
  <si>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</si>
  <si>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</si>
  <si>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</si>
  <si>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</si>
  <si>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</si>
  <si>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</si>
  <si>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</si>
  <si>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</si>
  <si>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</si>
  <si>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</si>
  <si>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</si>
  <si>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</si>
  <si>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</si>
  <si>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</si>
  <si>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</si>
  <si>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</si>
  <si>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</si>
  <si>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</si>
  <si>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</si>
  <si>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</si>
  <si>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</si>
  <si>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</si>
  <si>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</si>
  <si>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</si>
  <si>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</si>
  <si>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</si>
  <si>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</si>
  <si>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</si>
  <si>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</si>
  <si>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</si>
  <si>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</si>
  <si>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</si>
  <si>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</si>
  <si>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</si>
  <si>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</si>
  <si>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</si>
  <si>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</si>
  <si>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</si>
  <si>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</si>
  <si>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</si>
  <si>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</si>
  <si>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</si>
  <si>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</si>
  <si>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</si>
  <si>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</si>
  <si>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</si>
  <si>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</si>
  <si>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</si>
  <si>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</si>
  <si>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</si>
  <si>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</si>
  <si>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</si>
  <si>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</si>
  <si>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</si>
  <si>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</si>
  <si>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</si>
  <si>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</si>
  <si>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</si>
  <si>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</si>
  <si>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</si>
  <si>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</si>
  <si>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</si>
  <si>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</si>
  <si>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</si>
  <si>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</si>
  <si>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</si>
  <si>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</si>
  <si>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</si>
  <si>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</si>
  <si>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</si>
  <si>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</si>
  <si>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</si>
  <si>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</si>
  <si>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</si>
  <si>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</si>
  <si>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</si>
  <si>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</si>
  <si>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</si>
  <si>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</si>
  <si>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</si>
  <si>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</si>
  <si>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</si>
  <si>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</si>
  <si>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</si>
  <si>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</si>
  <si>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</si>
  <si>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</si>
  <si>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</si>
  <si>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</si>
  <si>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</si>
  <si>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</si>
  <si>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</si>
  <si>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</si>
  <si>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</si>
  <si>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</si>
  <si>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</si>
  <si>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</si>
  <si>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</si>
  <si>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</si>
  <si>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</si>
  <si>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</si>
  <si>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</si>
  <si>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</si>
  <si>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</si>
  <si>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</si>
  <si>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</si>
  <si>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</si>
  <si>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</si>
  <si>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</si>
  <si>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</si>
  <si>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</si>
  <si>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</si>
  <si>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</si>
  <si>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</si>
  <si>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</si>
  <si>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</si>
  <si>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</si>
  <si>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</si>
  <si>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</si>
  <si>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</si>
  <si>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</si>
  <si>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</si>
  <si>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</si>
  <si>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</si>
  <si>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</si>
  <si>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</si>
  <si>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</si>
  <si>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</si>
  <si>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</si>
  <si>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</si>
  <si>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</si>
  <si>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</si>
  <si>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</si>
  <si>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</si>
  <si>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</si>
  <si>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</si>
  <si>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</si>
  <si>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</si>
  <si>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</si>
  <si>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</si>
  <si>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</si>
  <si>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</si>
  <si>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</si>
  <si>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</si>
  <si>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</si>
  <si>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</si>
  <si>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</si>
  <si>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</si>
  <si>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</si>
  <si>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</si>
  <si>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ежегодно</t>
  </si>
  <si>
    <t>площадь дома</t>
  </si>
  <si>
    <t>Отчет об исполнении договора управления многоквартирного дома 
Первомайский, 33/2 в части текущего ремонта</t>
  </si>
  <si>
    <t>Начало отчетного периода</t>
  </si>
  <si>
    <t xml:space="preserve">  -  ремонт подъезда</t>
  </si>
  <si>
    <t xml:space="preserve">  -  замена освещения МОП</t>
  </si>
  <si>
    <t xml:space="preserve">  -  ремонт(замена) кабель каналов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</si>
  <si>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</si>
  <si>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</si>
  <si>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</si>
  <si>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</si>
  <si>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</si>
  <si>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</si>
  <si>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</si>
  <si>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Аварийная замена светильника в подъезде (1 этаж).</t>
  </si>
  <si>
    <t>АВР 2/21 от 18.03.2021</t>
  </si>
  <si>
    <t>Замена АКБ аварийного освещения лифта.</t>
  </si>
  <si>
    <t>АВР 3/21 от 23.07.2021, счет №462 от 22.07.2021</t>
  </si>
  <si>
    <t>АВР 4/21 от 17.09.2021, Решение</t>
  </si>
  <si>
    <t>Замена коммутатора системы видеонаблюдения.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</si>
  <si>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</si>
  <si>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</si>
  <si>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5/21 от 31.12.2021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</si>
</sst>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1" fillId="0" borderId="0"/>
  </cellStyleXfs>
  <cellXfs count="167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3" borderId="0" xfId="0" applyFont="1" applyFill="1" applyBorder="1" applyAlignment="1">
      <alignment wrapText="1"/>
    </xf>
    <xf numFmtId="4" fontId="11" fillId="3" borderId="0" xfId="0" applyNumberFormat="1" applyFont="1" applyFill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1" fillId="3" borderId="0" xfId="6" applyNumberFormat="1" applyFont="1" applyFill="1" applyBorder="1" applyAlignment="1">
      <alignment horizontal="left" vertical="center" wrapText="1"/>
    </xf>
    <xf numFmtId="0" fontId="4" fillId="0" borderId="0" xfId="5" applyFill="1" applyBorder="1" applyAlignment="1"/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0" fillId="0" borderId="0" xfId="0" applyFill="1" applyBorder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47" sqref="M4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7" t="s">
        <v>176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181</v>
      </c>
      <c r="E4" s="119">
        <v>44197</v>
      </c>
      <c r="K4" s="112"/>
      <c r="L4" s="112"/>
      <c r="M4" s="112"/>
      <c r="N4" s="112"/>
    </row>
    <row r="5" spans="1:18">
      <c r="A5" s="1" t="s">
        <v>0</v>
      </c>
      <c r="E5" s="119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58"/>
      <c r="M8" s="112"/>
      <c r="N8" s="112"/>
      <c r="O8" s="72" t="s">
        <v>82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58"/>
      <c r="M9" s="112"/>
      <c r="N9" s="112"/>
      <c r="O9" s="72" t="s">
        <v>83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358089.07</v>
      </c>
      <c r="K10" s="112"/>
      <c r="L10" s="158"/>
      <c r="M10" s="112"/>
      <c r="N10" s="112"/>
      <c r="O10" s="72" t="s">
        <v>84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514702.90599999996</v>
      </c>
      <c r="K11" s="112"/>
      <c r="L11" s="158"/>
      <c r="M11" s="112"/>
      <c r="N11" s="112"/>
      <c r="O11" s="72" t="s">
        <v>85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388474.81</v>
      </c>
      <c r="K12" s="112"/>
      <c r="L12" s="158"/>
      <c r="M12" s="112"/>
      <c r="N12" s="112"/>
      <c r="O12" s="72" t="s">
        <v>86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126228.09599999999</v>
      </c>
      <c r="K13" s="112"/>
      <c r="L13" s="158"/>
      <c r="M13" s="112"/>
      <c r="N13" s="112"/>
      <c r="O13" s="72" t="s">
        <v>87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2"/>
      <c r="L14" s="158"/>
      <c r="M14" s="112"/>
      <c r="N14" s="112"/>
      <c r="O14" s="72" t="s">
        <v>88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508623.26</v>
      </c>
      <c r="K15" s="112"/>
      <c r="L15" s="158"/>
      <c r="M15" s="112"/>
      <c r="N15" s="112"/>
      <c r="O15" s="72" t="s">
        <v>89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508623.26</v>
      </c>
      <c r="K16" s="112"/>
      <c r="L16" s="158"/>
      <c r="M16" s="112"/>
      <c r="N16" s="112"/>
      <c r="O16" s="72" t="s">
        <v>90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58"/>
      <c r="M17" s="112"/>
      <c r="N17" s="112"/>
      <c r="O17" s="72" t="s">
        <v>91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58"/>
      <c r="M18" s="112"/>
      <c r="N18" s="112"/>
      <c r="O18" s="72" t="s">
        <v>92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58"/>
      <c r="M19" s="112"/>
      <c r="N19" s="112"/>
      <c r="O19" s="72" t="s">
        <v>93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58"/>
      <c r="M20" s="112"/>
      <c r="N20" s="112"/>
      <c r="O20" s="72" t="s">
        <v>94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508623.26</v>
      </c>
      <c r="K21" s="112"/>
      <c r="L21" s="158"/>
      <c r="M21" s="112"/>
      <c r="N21" s="112"/>
      <c r="O21" s="72" t="s">
        <v>95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58"/>
      <c r="M22" s="112"/>
      <c r="N22" s="112"/>
      <c r="O22" s="72" t="s">
        <v>96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58"/>
      <c r="M23" s="112"/>
      <c r="N23" s="112"/>
      <c r="O23" s="72" t="s">
        <v>97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364168.71600000001</v>
      </c>
      <c r="K24" s="112"/>
      <c r="L24" s="158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1" t="s">
        <v>18</v>
      </c>
      <c r="B27" s="141"/>
      <c r="C27" s="141"/>
      <c r="D27" s="141"/>
      <c r="E27" s="141"/>
      <c r="F27" s="141" t="s">
        <v>19</v>
      </c>
      <c r="G27" s="141"/>
      <c r="H27" s="5" t="s">
        <v>56</v>
      </c>
      <c r="I27" s="141" t="s">
        <v>20</v>
      </c>
      <c r="J27" s="141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70787.64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35" t="str">
        <f>ПТО!A40</f>
        <v>Работы по содержанию лифта (лифтов)</v>
      </c>
      <c r="B29" s="135"/>
      <c r="C29" s="135"/>
      <c r="D29" s="135"/>
      <c r="E29" s="135"/>
      <c r="F29" s="136">
        <f>VLOOKUP(A29,ПТО!$A$39:$D$53,2,FALSE)</f>
        <v>67907.520000000004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2"/>
      <c r="L29" s="159"/>
      <c r="M29" s="112"/>
      <c r="N29" s="112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43141.2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2"/>
      <c r="L30" s="15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31956.48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9"/>
      <c r="M32" s="112"/>
      <c r="N32" s="112"/>
      <c r="O32" s="23">
        <f t="shared" si="1"/>
        <v>0</v>
      </c>
      <c r="R32" s="1" t="s">
        <v>70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10918.44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48201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3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35"/>
      <c r="C35" s="135"/>
      <c r="D35" s="135"/>
      <c r="E35" s="135"/>
      <c r="F35" s="136">
        <f>VLOOKUP(A35,ПТО!$A$39:$D$53,2,FALSE)</f>
        <v>106255.32</v>
      </c>
      <c r="G35" s="136"/>
      <c r="H35" s="42" t="str">
        <f>VLOOKUP(A35,ПТО!$A$39:$D$53,3,FALSE)</f>
        <v>Ежемесячно</v>
      </c>
      <c r="I35" s="137">
        <f>VLOOKUP(A35,ПТО!$A$39:$D$53,4,FALSE)</f>
        <v>12</v>
      </c>
      <c r="J35" s="137"/>
      <c r="K35" s="112"/>
      <c r="L35" s="159"/>
      <c r="M35" s="118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customHeight="1" outlineLevel="1">
      <c r="A36" s="135" t="str">
        <f>ПТО!A47</f>
        <v>Коммунальные ресурсы на содержание общего имущества</v>
      </c>
      <c r="B36" s="135"/>
      <c r="C36" s="135"/>
      <c r="D36" s="135"/>
      <c r="E36" s="135"/>
      <c r="F36" s="136">
        <f>VLOOKUP(A36,ПТО!$A$39:$D$53,2,FALSE)</f>
        <v>29786.760450000002</v>
      </c>
      <c r="G36" s="136"/>
      <c r="H36" s="42" t="str">
        <f>VLOOKUP(A36,ПТО!$A$39:$D$53,3,FALSE)</f>
        <v>Ежемесячно</v>
      </c>
      <c r="I36" s="137">
        <f>VLOOKUP(A36,ПТО!$A$39:$D$53,4,FALSE)</f>
        <v>12</v>
      </c>
      <c r="J36" s="137"/>
      <c r="K36" s="112"/>
      <c r="L36" s="159"/>
      <c r="M36" s="118"/>
      <c r="N36" s="112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9"/>
      <c r="M37" s="118"/>
      <c r="N37" s="112"/>
      <c r="O37" s="23">
        <f t="shared" si="1"/>
        <v>0</v>
      </c>
      <c r="R37" s="1" t="s">
        <v>70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9"/>
      <c r="M38" s="118"/>
      <c r="N38" s="112"/>
      <c r="O38" s="23">
        <f t="shared" si="1"/>
        <v>0</v>
      </c>
      <c r="R38" s="1" t="s">
        <v>70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9"/>
      <c r="M39" s="118"/>
      <c r="N39" s="112"/>
      <c r="O39" s="23">
        <f t="shared" si="1"/>
        <v>0</v>
      </c>
      <c r="R39" s="1" t="s">
        <v>70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9"/>
      <c r="M40" s="118"/>
      <c r="N40" s="112"/>
      <c r="O40" s="23">
        <f t="shared" si="1"/>
        <v>0</v>
      </c>
      <c r="R40" s="1" t="s">
        <v>70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9"/>
      <c r="M41" s="118"/>
      <c r="N41" s="112"/>
      <c r="O41" s="23">
        <f t="shared" si="1"/>
        <v>0</v>
      </c>
      <c r="R41" s="1" t="s">
        <v>70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9"/>
      <c r="M42" s="118"/>
      <c r="N42" s="112"/>
      <c r="O42" s="23">
        <f t="shared" si="1"/>
        <v>0</v>
      </c>
      <c r="R42" s="1" t="s">
        <v>70</v>
      </c>
    </row>
    <row r="43" spans="1:18" ht="51" customHeight="1" outlineLevel="1">
      <c r="A43" s="135" t="str">
        <f>ПТО!A2</f>
        <v>Техническое освидетельствование лифта.</v>
      </c>
      <c r="B43" s="135"/>
      <c r="C43" s="135"/>
      <c r="D43" s="135"/>
      <c r="E43" s="135"/>
      <c r="F43" s="136">
        <f>VLOOKUP(A43,ПТО!$A$2:$D$31,4,FALSE)</f>
        <v>8100</v>
      </c>
      <c r="G43" s="136"/>
      <c r="H43" s="19" t="str">
        <f>VLOOKUP(A43,ПТО!$A$2:$D$31,2,FALSE)</f>
        <v>ежегодно</v>
      </c>
      <c r="I43" s="137">
        <f>VLOOKUP(A43,ПТО!$A$2:$D$31,3,FALSE)</f>
        <v>1</v>
      </c>
      <c r="J43" s="137"/>
      <c r="K43" s="112"/>
      <c r="L43" s="159"/>
      <c r="M43" s="118"/>
      <c r="N43" s="112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35" t="str">
        <f>ПТО!A3</f>
        <v>Механизированная уборка и вывоз снега с придомовой территории.</v>
      </c>
      <c r="B44" s="135"/>
      <c r="C44" s="135"/>
      <c r="D44" s="135"/>
      <c r="E44" s="135"/>
      <c r="F44" s="136">
        <f>VLOOKUP(A44,ПТО!$A$2:$D$31,4,FALSE)</f>
        <v>19250</v>
      </c>
      <c r="G44" s="136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2"/>
      <c r="L44" s="159"/>
      <c r="M44" s="118"/>
      <c r="N44" s="112"/>
      <c r="O44" s="23" t="str">
        <f t="shared" si="1"/>
        <v>Механизированная уборка и вывоз снега с придомовой территории.</v>
      </c>
      <c r="R44" s="22" t="s">
        <v>71</v>
      </c>
    </row>
    <row r="45" spans="1:18" ht="51" customHeight="1" outlineLevel="1">
      <c r="A45" s="135" t="str">
        <f>ПТО!A4</f>
        <v>Аварийная замена светильника в подъезде (1 этаж).</v>
      </c>
      <c r="B45" s="135"/>
      <c r="C45" s="135"/>
      <c r="D45" s="135"/>
      <c r="E45" s="135"/>
      <c r="F45" s="136">
        <f>VLOOKUP(A45,ПТО!$A$2:$D$31,4,FALSE)</f>
        <v>1100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2"/>
      <c r="L45" s="159"/>
      <c r="M45" s="118"/>
      <c r="N45" s="112"/>
      <c r="O45" s="23" t="str">
        <f t="shared" si="1"/>
        <v>Аварийная замена светильника в подъезде (1 этаж).</v>
      </c>
      <c r="R45" s="22" t="s">
        <v>71</v>
      </c>
    </row>
    <row r="46" spans="1:18" ht="51" customHeight="1" outlineLevel="1">
      <c r="A46" s="135" t="str">
        <f>ПТО!A5</f>
        <v>Замена АКБ аварийного освещения лифта.</v>
      </c>
      <c r="B46" s="135"/>
      <c r="C46" s="135"/>
      <c r="D46" s="135"/>
      <c r="E46" s="135"/>
      <c r="F46" s="136">
        <f>VLOOKUP(A46,ПТО!$A$2:$D$31,4,FALSE)</f>
        <v>794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2"/>
      <c r="L46" s="159"/>
      <c r="M46" s="118"/>
      <c r="N46" s="112"/>
      <c r="O46" s="23" t="str">
        <f t="shared" si="1"/>
        <v>Замена АКБ аварийного освещения лифта.</v>
      </c>
      <c r="R46" s="22" t="s">
        <v>71</v>
      </c>
    </row>
    <row r="47" spans="1:18" ht="51" customHeight="1" outlineLevel="1">
      <c r="A47" s="135" t="str">
        <f>ПТО!A6</f>
        <v>Замена коммутатора системы видеонаблюдения.</v>
      </c>
      <c r="B47" s="135"/>
      <c r="C47" s="135"/>
      <c r="D47" s="135"/>
      <c r="E47" s="135"/>
      <c r="F47" s="136">
        <f>VLOOKUP(A47,ПТО!$A$2:$D$31,4,FALSE)</f>
        <v>6500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2"/>
      <c r="L47" s="159"/>
      <c r="M47" s="118"/>
      <c r="N47" s="112"/>
      <c r="O47" s="23" t="str">
        <f t="shared" si="1"/>
        <v>Замена коммутатора системы видеонаблюдения.</v>
      </c>
      <c r="R47" s="22" t="s">
        <v>71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9"/>
      <c r="M48" s="118"/>
      <c r="N48" s="112"/>
      <c r="O48" s="23">
        <f t="shared" si="1"/>
        <v>0</v>
      </c>
      <c r="R48" s="22" t="s">
        <v>71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9"/>
      <c r="M49" s="118"/>
      <c r="N49" s="112"/>
      <c r="O49" s="23">
        <f t="shared" si="1"/>
        <v>0</v>
      </c>
      <c r="R49" s="22" t="s">
        <v>71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9"/>
      <c r="M50" s="118"/>
      <c r="N50" s="112"/>
      <c r="O50" s="23">
        <f t="shared" si="1"/>
        <v>0</v>
      </c>
      <c r="R50" s="22" t="s">
        <v>71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9"/>
      <c r="M51" s="118"/>
      <c r="N51" s="112"/>
      <c r="O51" s="23">
        <f t="shared" si="1"/>
        <v>0</v>
      </c>
      <c r="R51" s="22" t="s">
        <v>71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9"/>
      <c r="M52" s="118"/>
      <c r="N52" s="112"/>
      <c r="O52" s="23">
        <f t="shared" si="1"/>
        <v>0</v>
      </c>
      <c r="R52" s="22" t="s">
        <v>71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9"/>
      <c r="M53" s="118"/>
      <c r="N53" s="112"/>
      <c r="O53" s="23">
        <f t="shared" si="1"/>
        <v>0</v>
      </c>
      <c r="R53" s="22" t="s">
        <v>71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9"/>
      <c r="M54" s="118"/>
      <c r="N54" s="112"/>
      <c r="O54" s="23">
        <f t="shared" si="1"/>
        <v>0</v>
      </c>
      <c r="R54" s="22" t="s">
        <v>71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9"/>
      <c r="M55" s="118"/>
      <c r="N55" s="112"/>
      <c r="O55" s="23">
        <f t="shared" si="1"/>
        <v>0</v>
      </c>
      <c r="R55" s="22" t="s">
        <v>71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9"/>
      <c r="M56" s="118"/>
      <c r="N56" s="112"/>
      <c r="O56" s="23">
        <f t="shared" si="1"/>
        <v>0</v>
      </c>
      <c r="R56" s="22" t="s">
        <v>71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9"/>
      <c r="M57" s="118"/>
      <c r="N57" s="112"/>
      <c r="O57" s="23">
        <f t="shared" si="1"/>
        <v>0</v>
      </c>
      <c r="R57" s="22" t="s">
        <v>71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9"/>
      <c r="M58" s="118"/>
      <c r="N58" s="112"/>
      <c r="O58" s="23">
        <f t="shared" si="1"/>
        <v>0</v>
      </c>
      <c r="R58" s="22" t="s">
        <v>71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9"/>
      <c r="M59" s="118"/>
      <c r="N59" s="112"/>
      <c r="O59" s="23">
        <f t="shared" si="1"/>
        <v>0</v>
      </c>
      <c r="R59" s="22" t="s">
        <v>71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9"/>
      <c r="M60" s="118"/>
      <c r="N60" s="112"/>
      <c r="O60" s="23">
        <f t="shared" si="1"/>
        <v>0</v>
      </c>
      <c r="R60" s="22" t="s">
        <v>71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9"/>
      <c r="M61" s="118"/>
      <c r="N61" s="112"/>
      <c r="O61" s="23">
        <f t="shared" si="1"/>
        <v>0</v>
      </c>
      <c r="R61" s="22" t="s">
        <v>71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9"/>
      <c r="M62" s="118"/>
      <c r="N62" s="112"/>
      <c r="O62" s="23">
        <f t="shared" si="1"/>
        <v>0</v>
      </c>
      <c r="R62" s="22" t="s">
        <v>71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9"/>
      <c r="M63" s="118"/>
      <c r="N63" s="112"/>
      <c r="O63" s="23">
        <f t="shared" si="1"/>
        <v>0</v>
      </c>
      <c r="R63" s="22" t="s">
        <v>71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9"/>
      <c r="M64" s="118"/>
      <c r="N64" s="112"/>
      <c r="O64" s="23">
        <f t="shared" si="1"/>
        <v>0</v>
      </c>
      <c r="R64" s="22" t="s">
        <v>71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9"/>
      <c r="M65" s="118"/>
      <c r="N65" s="112"/>
      <c r="O65" s="23">
        <f t="shared" si="1"/>
        <v>0</v>
      </c>
      <c r="R65" s="22" t="s">
        <v>71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9"/>
      <c r="M66" s="118"/>
      <c r="N66" s="112"/>
      <c r="O66" s="23">
        <f t="shared" si="1"/>
        <v>0</v>
      </c>
      <c r="R66" s="22" t="s">
        <v>71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9"/>
      <c r="M67" s="118"/>
      <c r="N67" s="112"/>
      <c r="O67" s="23">
        <f t="shared" si="1"/>
        <v>0</v>
      </c>
      <c r="R67" s="22" t="s">
        <v>71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9"/>
      <c r="M68" s="118"/>
      <c r="N68" s="112"/>
      <c r="O68" s="23">
        <f t="shared" si="1"/>
        <v>0</v>
      </c>
      <c r="R68" s="22" t="s">
        <v>71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9"/>
      <c r="M69" s="118"/>
      <c r="N69" s="112"/>
      <c r="O69" s="23">
        <f t="shared" si="1"/>
        <v>0</v>
      </c>
      <c r="R69" s="22" t="s">
        <v>71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9"/>
      <c r="M70" s="118"/>
      <c r="N70" s="112"/>
      <c r="O70" s="23">
        <f t="shared" si="1"/>
        <v>0</v>
      </c>
      <c r="R70" s="22" t="s">
        <v>71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8"/>
      <c r="L71" s="159"/>
      <c r="M71" s="118"/>
      <c r="N71" s="118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9"/>
      <c r="M72" s="118"/>
      <c r="N72" s="112"/>
      <c r="O72" s="23">
        <f t="shared" si="1"/>
        <v>0</v>
      </c>
      <c r="R72" s="22" t="s">
        <v>71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3" t="s">
        <v>26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2"/>
      <c r="L75" s="142"/>
      <c r="M75" s="112"/>
      <c r="N75" s="112"/>
      <c r="O75" s="72" t="s">
        <v>99</v>
      </c>
    </row>
    <row r="76" spans="1:16384" ht="18.75" customHeight="1" outlineLevel="1">
      <c r="A76" s="153" t="s">
        <v>27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2"/>
      <c r="L76" s="142"/>
      <c r="M76" s="112"/>
      <c r="N76" s="112"/>
      <c r="O76" s="72" t="s">
        <v>100</v>
      </c>
    </row>
    <row r="77" spans="1:16384" ht="21.75" customHeight="1" outlineLevel="1">
      <c r="A77" s="153" t="s">
        <v>28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2"/>
      <c r="L77" s="142"/>
      <c r="M77" s="112"/>
      <c r="N77" s="112"/>
      <c r="O77" s="72" t="s">
        <v>101</v>
      </c>
    </row>
    <row r="78" spans="1:16384" ht="18.75" customHeight="1" outlineLevel="1">
      <c r="A78" s="153" t="s">
        <v>29</v>
      </c>
      <c r="B78" s="153"/>
      <c r="C78" s="153"/>
      <c r="D78" s="153"/>
      <c r="E78" s="153"/>
      <c r="F78" s="153"/>
      <c r="G78" s="153"/>
      <c r="H78" s="153"/>
      <c r="I78" s="153"/>
      <c r="J78" s="99">
        <f>VLOOKUP(O78,АО,3,FALSE)</f>
        <v>0</v>
      </c>
      <c r="K78" s="112"/>
      <c r="L78" s="142"/>
      <c r="M78" s="112"/>
      <c r="N78" s="112"/>
      <c r="O78" s="72" t="s">
        <v>102</v>
      </c>
    </row>
    <row r="79" spans="1:16384">
      <c r="A79" s="117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60"/>
      <c r="M81" s="112"/>
      <c r="N81" s="112"/>
      <c r="O81" s="72" t="s">
        <v>103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60"/>
      <c r="M82" s="112"/>
      <c r="N82" s="112"/>
      <c r="O82" s="72" t="s">
        <v>104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83429.53</v>
      </c>
      <c r="K83" s="112"/>
      <c r="L83" s="160"/>
      <c r="M83" s="112"/>
      <c r="N83" s="112"/>
      <c r="O83" s="72" t="s">
        <v>105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60"/>
      <c r="M84" s="112"/>
      <c r="N84" s="112"/>
      <c r="O84" s="72" t="s">
        <v>106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60"/>
      <c r="M85" s="112"/>
      <c r="N85" s="112"/>
      <c r="O85" s="72" t="s">
        <v>107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416207.17</v>
      </c>
      <c r="K86" s="112"/>
      <c r="L86" s="160"/>
      <c r="M86" s="112"/>
      <c r="N86" s="112"/>
      <c r="O86" s="72" t="s">
        <v>108</v>
      </c>
    </row>
    <row r="87" spans="1:15" ht="18.75" customHeight="1" outlineLevel="1">
      <c r="A87" s="150" t="s">
        <v>26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60"/>
      <c r="M87" s="112"/>
      <c r="N87" s="112"/>
      <c r="O87" s="72" t="s">
        <v>109</v>
      </c>
    </row>
    <row r="88" spans="1:15" ht="18.75" customHeight="1" outlineLevel="1">
      <c r="A88" s="150" t="s">
        <v>27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60"/>
      <c r="M88" s="112"/>
      <c r="N88" s="112"/>
      <c r="O88" s="72" t="s">
        <v>110</v>
      </c>
    </row>
    <row r="89" spans="1:15" ht="18.75" customHeight="1" outlineLevel="1">
      <c r="A89" s="150" t="s">
        <v>28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60"/>
      <c r="M89" s="112"/>
      <c r="N89" s="112"/>
      <c r="O89" s="72" t="s">
        <v>111</v>
      </c>
    </row>
    <row r="90" spans="1:15" ht="18.75" customHeight="1" outlineLevel="1">
      <c r="A90" s="150" t="s">
        <v>29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60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44" t="s">
        <v>47</v>
      </c>
      <c r="B93" s="144"/>
      <c r="C93" s="144"/>
      <c r="D93" s="147" t="s">
        <v>48</v>
      </c>
      <c r="E93" s="147"/>
      <c r="F93" s="10" t="s">
        <v>49</v>
      </c>
      <c r="G93" s="144" t="s">
        <v>50</v>
      </c>
      <c r="H93" s="144"/>
      <c r="I93" s="144"/>
      <c r="J93" s="144"/>
      <c r="K93" s="112"/>
      <c r="L93" s="112"/>
      <c r="M93" s="112"/>
      <c r="N93" s="112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461220.73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384350.61</v>
      </c>
      <c r="L95" s="161"/>
      <c r="O95" s="1" t="s">
        <v>113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139041.88</v>
      </c>
      <c r="L96" s="161"/>
      <c r="O96" s="1" t="s">
        <v>114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322178.84999999998</v>
      </c>
      <c r="L97" s="161"/>
      <c r="O97" s="1" t="s">
        <v>115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461220.73</v>
      </c>
      <c r="L98" s="161"/>
      <c r="O98" s="1" t="s">
        <v>116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461220.73</v>
      </c>
      <c r="L99" s="161"/>
      <c r="O99" s="1" t="s">
        <v>117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118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119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57980.53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4392.46</v>
      </c>
      <c r="L103" s="161"/>
      <c r="O103" s="1" t="s">
        <v>122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53818.45</v>
      </c>
      <c r="L104" s="161"/>
      <c r="O104" s="1" t="s">
        <v>123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4162.0800000000017</v>
      </c>
      <c r="L105" s="161"/>
      <c r="O105" s="1" t="s">
        <v>124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57980.53</v>
      </c>
      <c r="L106" s="161"/>
      <c r="O106" s="1" t="s">
        <v>125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57980.53</v>
      </c>
      <c r="L107" s="161"/>
      <c r="O107" s="1" t="s">
        <v>126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127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128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116784.16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7280.81</v>
      </c>
      <c r="L111" s="161"/>
      <c r="O111" s="1" t="s">
        <v>130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109654.84</v>
      </c>
      <c r="L112" s="161"/>
      <c r="O112" s="1" t="s">
        <v>131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7129.320000000007</v>
      </c>
      <c r="L113" s="161"/>
      <c r="O113" s="1" t="s">
        <v>132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116784.16</v>
      </c>
      <c r="L114" s="161"/>
      <c r="O114" s="1" t="s">
        <v>133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116784.16</v>
      </c>
      <c r="L115" s="161"/>
      <c r="O115" s="1" t="s">
        <v>134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135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136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94175.65</v>
      </c>
      <c r="H118" s="146"/>
      <c r="I118" s="146"/>
      <c r="J118" s="146"/>
      <c r="L118" s="49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175.09</v>
      </c>
      <c r="L119" s="49"/>
      <c r="O119" s="1" t="s">
        <v>138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97670.7</v>
      </c>
      <c r="L120" s="49"/>
      <c r="O120" s="1" t="s">
        <v>139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0</v>
      </c>
      <c r="L121" s="49"/>
      <c r="O121" s="1" t="s">
        <v>140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94175.65</v>
      </c>
      <c r="L122" s="49"/>
      <c r="O122" s="1" t="s">
        <v>141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94175.65</v>
      </c>
      <c r="L123" s="49"/>
      <c r="O123" s="1" t="s">
        <v>142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143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144</v>
      </c>
    </row>
    <row r="126" spans="1:15" ht="32.25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35904.68</v>
      </c>
      <c r="H126" s="146"/>
      <c r="I126" s="146"/>
      <c r="J126" s="146"/>
      <c r="L126" s="49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2720.05</v>
      </c>
      <c r="L127" s="49"/>
      <c r="O127" s="1" t="s">
        <v>146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33102.239999999998</v>
      </c>
      <c r="L128" s="49"/>
      <c r="O128" s="1" t="s">
        <v>147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2802.4400000000023</v>
      </c>
      <c r="L129" s="49"/>
      <c r="O129" s="1" t="s">
        <v>148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35904.68</v>
      </c>
      <c r="L130" s="49"/>
      <c r="O130" s="1" t="s">
        <v>149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35904.68</v>
      </c>
      <c r="L131" s="49"/>
      <c r="O131" s="1" t="s">
        <v>150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151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160</v>
      </c>
    </row>
    <row r="143" spans="1:15">
      <c r="A143" s="11" t="s">
        <v>43</v>
      </c>
    </row>
    <row r="144" spans="1:15" ht="18.75" customHeight="1" outlineLevel="1">
      <c r="A144" s="143" t="s">
        <v>44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170</v>
      </c>
    </row>
    <row r="145" spans="1:15" ht="18.75" customHeight="1" outlineLevel="1">
      <c r="A145" s="143" t="s">
        <v>45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43" t="s">
        <v>173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65266.12</v>
      </c>
      <c r="O146" t="s">
        <v>172</v>
      </c>
    </row>
    <row r="149" spans="1:15" ht="52.5" customHeight="1">
      <c r="A149" s="139" t="s">
        <v>180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38" t="s">
        <v>185</v>
      </c>
      <c r="B154" s="138"/>
      <c r="C154" s="138"/>
      <c r="D154" s="138"/>
      <c r="E154" s="27">
        <f>ПТО!G1</f>
        <v>-386892.79</v>
      </c>
    </row>
    <row r="155" spans="1:15" ht="34.5" customHeight="1">
      <c r="A155" s="140" t="s">
        <v>189</v>
      </c>
      <c r="B155" s="140"/>
      <c r="C155" s="140"/>
      <c r="D155" s="140"/>
      <c r="E155" s="28">
        <f>J13</f>
        <v>126228.09599999999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18</v>
      </c>
      <c r="B157" s="141"/>
      <c r="C157" s="141"/>
      <c r="D157" s="141"/>
      <c r="E157" s="141"/>
      <c r="F157" s="141" t="s">
        <v>19</v>
      </c>
      <c r="G157" s="141"/>
      <c r="H157" s="20" t="s">
        <v>56</v>
      </c>
      <c r="I157" s="141" t="s">
        <v>20</v>
      </c>
      <c r="J157" s="141"/>
    </row>
    <row r="158" spans="1:15" ht="29.25" customHeight="1">
      <c r="A158" s="135" t="str">
        <f t="shared" ref="A158:A163" si="14">IF(N158&gt;0,N158,0)</f>
        <v>Техническое освидетельствование лифта.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8100</v>
      </c>
      <c r="G158" s="136"/>
      <c r="H158" s="24" t="str">
        <f t="shared" ref="H158:H187" si="16">VLOOKUP(A158,$A$28:$J$72,8,FALSE)</f>
        <v>ежегодно</v>
      </c>
      <c r="I158" s="137">
        <f t="shared" ref="I158:I161" si="17">VLOOKUP(A158,$A$28:$J$72,9,FALSE)</f>
        <v>1</v>
      </c>
      <c r="J158" s="137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5" t="str">
        <f t="shared" si="14"/>
        <v>Механизированная уборка и вывоз снега с придомовой территории.</v>
      </c>
      <c r="B159" s="135"/>
      <c r="C159" s="135"/>
      <c r="D159" s="135"/>
      <c r="E159" s="135"/>
      <c r="F159" s="136">
        <f t="shared" si="15"/>
        <v>19250</v>
      </c>
      <c r="G159" s="136"/>
      <c r="H159" s="24" t="str">
        <f t="shared" si="16"/>
        <v>разово</v>
      </c>
      <c r="I159" s="137">
        <f t="shared" si="17"/>
        <v>1</v>
      </c>
      <c r="J159" s="137"/>
      <c r="M159" s="22" t="s">
        <v>71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35" t="str">
        <f t="shared" si="14"/>
        <v>Аварийная замена светильника в подъезде (1 этаж).</v>
      </c>
      <c r="B160" s="135"/>
      <c r="C160" s="135"/>
      <c r="D160" s="135"/>
      <c r="E160" s="135"/>
      <c r="F160" s="136">
        <f t="shared" si="15"/>
        <v>1100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71</v>
      </c>
      <c r="N160" s="1" t="str">
        <v>Аварийная замена светильника в подъезде (1 этаж).</v>
      </c>
    </row>
    <row r="161" spans="1:14" ht="28.5" customHeight="1">
      <c r="A161" s="135" t="str">
        <f>IF(N161&gt;0,N161,0)</f>
        <v>Замена АКБ аварийного освещения лифта.</v>
      </c>
      <c r="B161" s="135"/>
      <c r="C161" s="135"/>
      <c r="D161" s="135"/>
      <c r="E161" s="135"/>
      <c r="F161" s="136">
        <f t="shared" si="15"/>
        <v>794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71</v>
      </c>
      <c r="N161" s="1" t="str">
        <v>Замена АКБ аварийного освещения лифта.</v>
      </c>
    </row>
    <row r="162" spans="1:14" ht="28.5" customHeight="1">
      <c r="A162" s="135" t="str">
        <f t="shared" si="14"/>
        <v>Замена коммутатора системы видеонаблюдения.</v>
      </c>
      <c r="B162" s="135"/>
      <c r="C162" s="135"/>
      <c r="D162" s="135"/>
      <c r="E162" s="135"/>
      <c r="F162" s="136">
        <f t="shared" si="15"/>
        <v>6500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71</v>
      </c>
      <c r="N162" s="1" t="str">
        <v>Замена коммутатора системы видеонаблюдения.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36">
        <f t="shared" si="15"/>
        <v>0</v>
      </c>
      <c r="G163" s="136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71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71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71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71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71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71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71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71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71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71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71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71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71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71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71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71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71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71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71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71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71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71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71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71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71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38" t="s">
        <v>188</v>
      </c>
      <c r="B190" s="138"/>
      <c r="C190" s="138"/>
      <c r="D190" s="138"/>
      <c r="E190" s="27">
        <f>SUM(F158:G187)</f>
        <v>35744</v>
      </c>
    </row>
    <row r="191" spans="1:14" ht="51.75" customHeight="1">
      <c r="A191" s="138" t="s">
        <v>187</v>
      </c>
      <c r="B191" s="138"/>
      <c r="C191" s="138"/>
      <c r="D191" s="138"/>
      <c r="E191" s="27">
        <f>E190+E154-E155</f>
        <v>-477376.88599999994</v>
      </c>
    </row>
    <row r="192" spans="1:14">
      <c r="A192" s="107" t="s">
        <v>174</v>
      </c>
    </row>
    <row r="193" spans="1:10" ht="62.25" customHeight="1">
      <c r="A193" s="163" t="s">
        <v>186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1">
        <f>ПТО!G12</f>
        <v>1200</v>
      </c>
      <c r="I194" s="52" t="s">
        <v>74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51">
        <f>ПТО!G13</f>
        <v>8100</v>
      </c>
      <c r="I195" s="52" t="s">
        <v>74</v>
      </c>
    </row>
    <row r="196" spans="1:10" ht="18.75" customHeight="1">
      <c r="A196" s="162" t="str">
        <f>ПТО!F14</f>
        <v xml:space="preserve">  -  ремонт подъезда</v>
      </c>
      <c r="B196" s="162"/>
      <c r="C196" s="162"/>
      <c r="D196" s="162"/>
      <c r="E196" s="162"/>
      <c r="F196" s="162"/>
      <c r="G196" s="162"/>
      <c r="H196" s="51">
        <f>ПТО!G14</f>
        <v>400000</v>
      </c>
      <c r="I196" s="52" t="s">
        <v>74</v>
      </c>
    </row>
    <row r="197" spans="1:10" ht="18.75" customHeight="1">
      <c r="A197" s="162" t="str">
        <f>ПТО!F15</f>
        <v xml:space="preserve">  -  замена освещения МОП</v>
      </c>
      <c r="B197" s="162"/>
      <c r="C197" s="162"/>
      <c r="D197" s="162"/>
      <c r="E197" s="162"/>
      <c r="F197" s="162"/>
      <c r="G197" s="162"/>
      <c r="H197" s="51">
        <f>ПТО!G15</f>
        <v>35000</v>
      </c>
      <c r="I197" s="52" t="s">
        <v>74</v>
      </c>
    </row>
    <row r="198" spans="1:10" ht="18.75" customHeight="1">
      <c r="A198" s="162" t="str">
        <f>ПТО!F16</f>
        <v xml:space="preserve">  -  ремонт(замена) кабель каналов</v>
      </c>
      <c r="B198" s="162"/>
      <c r="C198" s="162"/>
      <c r="D198" s="162"/>
      <c r="E198" s="162"/>
      <c r="F198" s="162"/>
      <c r="G198" s="162"/>
      <c r="H198" s="51">
        <f>ПТО!G16</f>
        <v>110000</v>
      </c>
      <c r="I198" s="54" t="s">
        <v>74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1">
        <f>ПТО!G17</f>
        <v>0</v>
      </c>
      <c r="I199" s="52" t="s">
        <v>74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1">
        <f>ПТО!G18</f>
        <v>0</v>
      </c>
      <c r="I200" s="52" t="s">
        <v>74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1">
        <f>ПТО!G19</f>
        <v>0</v>
      </c>
      <c r="I201" s="52" t="s">
        <v>74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1">
        <f>ПТО!G20</f>
        <v>0</v>
      </c>
      <c r="I202" s="52" t="s">
        <v>74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1">
        <f>ПТО!G21</f>
        <v>0</v>
      </c>
      <c r="I203" s="52" t="s">
        <v>74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1">
        <f>ПТО!G22</f>
        <v>0</v>
      </c>
      <c r="I204" s="52" t="s">
        <v>74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1">
        <f>ПТО!G23</f>
        <v>0</v>
      </c>
      <c r="I205" s="52" t="s">
        <v>74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1">
        <f>ПТО!G24</f>
        <v>0</v>
      </c>
      <c r="I206" s="52" t="s">
        <v>74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1">
        <f>ПТО!G25</f>
        <v>0</v>
      </c>
      <c r="I207" s="52" t="s">
        <v>74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1">
        <f>ПТО!G26</f>
        <v>0</v>
      </c>
      <c r="I208" s="52" t="s">
        <v>74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1">
        <f>ПТО!G27</f>
        <v>0</v>
      </c>
      <c r="I209" s="52" t="s">
        <v>74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1">
        <f>ПТО!G28</f>
        <v>0</v>
      </c>
      <c r="I210" s="52" t="s">
        <v>74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1">
        <f>ПТО!G29</f>
        <v>0</v>
      </c>
      <c r="I211" s="52" t="s">
        <v>74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1">
        <f>ПТО!G30</f>
        <v>0</v>
      </c>
      <c r="I212" s="52" t="s">
        <v>74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1">
        <f>ПТО!G31</f>
        <v>0</v>
      </c>
      <c r="I213" s="52" t="s">
        <v>74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554300</v>
      </c>
      <c r="I214" s="58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D12" sqref="D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3" t="s">
        <v>185</v>
      </c>
      <c r="G1" s="104">
        <f>-386892.79</f>
        <v>-386892.79</v>
      </c>
    </row>
    <row r="2" spans="1:12" ht="18.75" customHeight="1">
      <c r="A2" s="131" t="s">
        <v>72</v>
      </c>
      <c r="B2" s="132" t="s">
        <v>178</v>
      </c>
      <c r="C2" s="132">
        <v>1</v>
      </c>
      <c r="D2" s="133">
        <v>8100</v>
      </c>
      <c r="E2" s="134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199</v>
      </c>
      <c r="B3" s="121" t="s">
        <v>190</v>
      </c>
      <c r="C3" s="122">
        <v>1</v>
      </c>
      <c r="D3" s="123">
        <v>19250</v>
      </c>
      <c r="E3" s="124" t="s">
        <v>191</v>
      </c>
      <c r="F3" s="30"/>
      <c r="G3" s="30"/>
      <c r="L3" s="33" t="str">
        <f t="shared" si="0"/>
        <v>ТР</v>
      </c>
    </row>
    <row r="4" spans="1:12" ht="18.75" customHeight="1">
      <c r="A4" s="120" t="s">
        <v>192</v>
      </c>
      <c r="B4" s="121" t="s">
        <v>190</v>
      </c>
      <c r="C4" s="122">
        <v>1</v>
      </c>
      <c r="D4" s="123">
        <v>1100</v>
      </c>
      <c r="E4" s="124" t="s">
        <v>193</v>
      </c>
      <c r="F4" s="30"/>
      <c r="G4" s="30"/>
      <c r="L4" s="33" t="str">
        <f t="shared" si="0"/>
        <v>ТР</v>
      </c>
    </row>
    <row r="5" spans="1:12" ht="18.75" customHeight="1">
      <c r="A5" s="46" t="s">
        <v>194</v>
      </c>
      <c r="B5" s="127" t="s">
        <v>190</v>
      </c>
      <c r="C5" s="43">
        <v>1</v>
      </c>
      <c r="D5" s="48">
        <v>794</v>
      </c>
      <c r="E5" s="46" t="s">
        <v>195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197</v>
      </c>
      <c r="B6" s="128" t="s">
        <v>190</v>
      </c>
      <c r="C6" s="43">
        <v>1</v>
      </c>
      <c r="D6" s="48">
        <v>6500</v>
      </c>
      <c r="E6" s="46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186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75</v>
      </c>
      <c r="G13" s="116">
        <v>8100</v>
      </c>
      <c r="L13" s="33">
        <f t="shared" si="0"/>
        <v>0</v>
      </c>
    </row>
    <row r="14" spans="1:12" ht="15.75">
      <c r="A14" s="30"/>
      <c r="F14" s="125" t="s">
        <v>182</v>
      </c>
      <c r="G14" s="126">
        <v>400000</v>
      </c>
      <c r="L14" s="33">
        <f t="shared" si="0"/>
        <v>0</v>
      </c>
    </row>
    <row r="15" spans="1:12" ht="15.75">
      <c r="A15" s="30"/>
      <c r="F15" s="125" t="s">
        <v>183</v>
      </c>
      <c r="G15" s="126">
        <v>35000</v>
      </c>
      <c r="L15" s="33">
        <f t="shared" si="0"/>
        <v>0</v>
      </c>
    </row>
    <row r="16" spans="1:12" ht="15.75">
      <c r="A16" s="30"/>
      <c r="F16" s="115" t="s">
        <v>184</v>
      </c>
      <c r="G16" s="116">
        <v>110000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70787.64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70787.64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67907.520000000004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67907.520000000004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43141.2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43141.2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31956.48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31956.48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10918.44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10918.44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48201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48201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106255.32</v>
      </c>
      <c r="C46" s="38" t="s">
        <v>67</v>
      </c>
      <c r="D46" s="50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106255.32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198</v>
      </c>
      <c r="B47" s="129">
        <f>(E47*3.48*1.23*6+E47*3.48*1.17*6)+(F47*0.075*13.45*6+F47*0.075*12.94*6)+(F47*0.075*16.35*6+F47*0.075*15.73*6)</f>
        <v>29786.760450000002</v>
      </c>
      <c r="C47" s="130" t="s">
        <v>67</v>
      </c>
      <c r="D47" s="50">
        <v>12</v>
      </c>
      <c r="E47" s="129">
        <v>436.1</v>
      </c>
      <c r="F47" s="129">
        <v>301.5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29786.760450000002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F1" sqref="F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179</v>
      </c>
      <c r="F1" s="62">
        <v>2219.1999999999998</v>
      </c>
    </row>
    <row r="2" spans="1:10" ht="15.75" customHeight="1">
      <c r="A2" s="72" t="s">
        <v>82</v>
      </c>
      <c r="B2" s="74" t="s">
        <v>1</v>
      </c>
      <c r="C2" s="85">
        <v>0</v>
      </c>
      <c r="D2" s="83" t="s">
        <v>57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2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3</v>
      </c>
      <c r="C4" s="85">
        <v>358089.07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4</v>
      </c>
      <c r="C5" s="81">
        <f>SUM(C6:C8)</f>
        <v>514702.90599999996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5</v>
      </c>
      <c r="C6" s="85">
        <v>388474.81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6</v>
      </c>
      <c r="C7" s="85">
        <f>F1*4.74*12</f>
        <v>126228.09599999999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7</v>
      </c>
      <c r="C8" s="85">
        <v>0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8</v>
      </c>
      <c r="C9" s="81">
        <f>SUM(C10:C14)</f>
        <v>508623.26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9</v>
      </c>
      <c r="C10" s="85">
        <v>508623.26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10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11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12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13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14</v>
      </c>
      <c r="C15" s="81">
        <f>C9</f>
        <v>508623.26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15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16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17</v>
      </c>
      <c r="C18" s="81">
        <f>IF(C16&gt;0,0,IF(C4&gt;0,C4+C5-C9,C5-C2-C9))</f>
        <v>364168.71600000001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100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101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102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162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1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104</v>
      </c>
      <c r="B26" s="77" t="s">
        <v>2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105</v>
      </c>
      <c r="B27" s="77" t="s">
        <v>3</v>
      </c>
      <c r="C27" s="88">
        <v>83429.53</v>
      </c>
      <c r="D27" s="83" t="s">
        <v>59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106</v>
      </c>
      <c r="B28" s="77" t="s">
        <v>15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107</v>
      </c>
      <c r="B29" s="77" t="s">
        <v>16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108</v>
      </c>
      <c r="B30" s="77" t="s">
        <v>17</v>
      </c>
      <c r="C30" s="88">
        <v>416207.17</v>
      </c>
      <c r="D30" s="83" t="s">
        <v>65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109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110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111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112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163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164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461220.73</v>
      </c>
      <c r="F37" s="96" t="s">
        <v>167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113</v>
      </c>
      <c r="B38" s="80" t="s">
        <v>36</v>
      </c>
      <c r="C38" s="92">
        <v>384350.61</v>
      </c>
      <c r="D38" s="96" t="s">
        <v>165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114</v>
      </c>
      <c r="B39" s="80" t="s">
        <v>37</v>
      </c>
      <c r="C39" s="93">
        <v>139041.88</v>
      </c>
      <c r="D39" s="96" t="s">
        <v>166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115</v>
      </c>
      <c r="B40" s="80" t="s">
        <v>38</v>
      </c>
      <c r="C40" s="95">
        <f>IF(E37-C39&lt;0,0,E37-C39)</f>
        <v>322178.84999999998</v>
      </c>
      <c r="D40" s="82" t="s">
        <v>58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116</v>
      </c>
      <c r="B41" s="80" t="s">
        <v>39</v>
      </c>
      <c r="C41" s="95">
        <f>E37</f>
        <v>461220.73</v>
      </c>
      <c r="D41" s="82" t="s">
        <v>58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117</v>
      </c>
      <c r="B42" s="80" t="s">
        <v>40</v>
      </c>
      <c r="C42" s="95">
        <f>E37</f>
        <v>461220.73</v>
      </c>
      <c r="D42" s="82" t="s">
        <v>58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118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119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121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57980.53</v>
      </c>
      <c r="F45" s="96" t="s">
        <v>167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122</v>
      </c>
      <c r="B46" s="80" t="s">
        <v>36</v>
      </c>
      <c r="C46" s="92">
        <v>4392.46</v>
      </c>
      <c r="D46" s="96" t="s">
        <v>168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123</v>
      </c>
      <c r="B47" s="80" t="s">
        <v>37</v>
      </c>
      <c r="C47" s="93">
        <v>53818.45</v>
      </c>
      <c r="D47" s="96" t="s">
        <v>166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124</v>
      </c>
      <c r="B48" s="80" t="s">
        <v>38</v>
      </c>
      <c r="C48" s="95">
        <f>IF(E45-C47&lt;0,0,E45-C47)</f>
        <v>4162.0800000000017</v>
      </c>
      <c r="D48" s="82" t="s">
        <v>58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125</v>
      </c>
      <c r="B49" s="80" t="s">
        <v>39</v>
      </c>
      <c r="C49" s="95">
        <f>E45</f>
        <v>57980.53</v>
      </c>
      <c r="D49" s="82" t="s">
        <v>58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126</v>
      </c>
      <c r="B50" s="80" t="s">
        <v>40</v>
      </c>
      <c r="C50" s="95">
        <f>E45</f>
        <v>57980.53</v>
      </c>
      <c r="D50" s="82" t="s">
        <v>58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127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128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129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116784.16</v>
      </c>
      <c r="F53" s="96" t="s">
        <v>167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130</v>
      </c>
      <c r="B54" s="77" t="s">
        <v>36</v>
      </c>
      <c r="C54" s="101">
        <v>7280.81</v>
      </c>
      <c r="D54" s="96" t="s">
        <v>168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131</v>
      </c>
      <c r="B55" s="77" t="s">
        <v>37</v>
      </c>
      <c r="C55" s="88">
        <v>109654.84</v>
      </c>
      <c r="D55" s="96" t="s">
        <v>166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132</v>
      </c>
      <c r="B56" s="77" t="s">
        <v>38</v>
      </c>
      <c r="C56" s="95">
        <f>IF(E53-C55&lt;0,0,E53-C55)</f>
        <v>7129.320000000007</v>
      </c>
      <c r="D56" s="82" t="s">
        <v>58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133</v>
      </c>
      <c r="B57" s="77" t="s">
        <v>39</v>
      </c>
      <c r="C57" s="95">
        <f>E53</f>
        <v>116784.16</v>
      </c>
      <c r="D57" s="82" t="s">
        <v>58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134</v>
      </c>
      <c r="B58" s="77" t="s">
        <v>40</v>
      </c>
      <c r="C58" s="95">
        <f>E53</f>
        <v>116784.16</v>
      </c>
      <c r="D58" s="82" t="s">
        <v>58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135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136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137</v>
      </c>
      <c r="B61" s="79" t="s">
        <v>78</v>
      </c>
      <c r="C61" s="98" t="str">
        <f>IF(E61&gt;0,"Предоставляется",0)</f>
        <v>Предоставляется</v>
      </c>
      <c r="D61" s="98" t="s">
        <v>54</v>
      </c>
      <c r="E61" s="97">
        <v>94175.65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36</v>
      </c>
      <c r="C62" s="101">
        <v>175.09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37</v>
      </c>
      <c r="C63" s="88">
        <v>97670.7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38</v>
      </c>
      <c r="C64" s="95">
        <f>IF(E61-C63&lt;0,0,E61-C63)</f>
        <v>0</v>
      </c>
      <c r="D64" s="82" t="s">
        <v>58</v>
      </c>
      <c r="E64" s="71"/>
      <c r="G64" s="66"/>
      <c r="H64" s="66"/>
    </row>
    <row r="65" spans="1:8" ht="15.75" customHeight="1">
      <c r="A65" s="75" t="s">
        <v>141</v>
      </c>
      <c r="B65" s="77" t="s">
        <v>39</v>
      </c>
      <c r="C65" s="95">
        <f>E61</f>
        <v>94175.65</v>
      </c>
      <c r="D65" s="82" t="s">
        <v>58</v>
      </c>
      <c r="E65" s="71"/>
      <c r="G65" s="66"/>
      <c r="H65" s="66"/>
    </row>
    <row r="66" spans="1:8" ht="15.75" customHeight="1">
      <c r="A66" s="75" t="s">
        <v>142</v>
      </c>
      <c r="B66" s="77" t="s">
        <v>40</v>
      </c>
      <c r="C66" s="95">
        <f>E61</f>
        <v>94175.65</v>
      </c>
      <c r="D66" s="82" t="s">
        <v>58</v>
      </c>
      <c r="E66" s="71"/>
      <c r="G66" s="66"/>
      <c r="H66" s="66"/>
    </row>
    <row r="67" spans="1:8" ht="15.75" customHeight="1">
      <c r="A67" s="75" t="s">
        <v>143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144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 t="str">
        <f>IF(E69&gt;0,"Предоставляется",0)</f>
        <v>Предоставляется</v>
      </c>
      <c r="D69" s="98" t="s">
        <v>54</v>
      </c>
      <c r="E69" s="97">
        <v>35904.68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36</v>
      </c>
      <c r="C70" s="101">
        <v>2720.05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37</v>
      </c>
      <c r="C71" s="88">
        <v>33102.239999999998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38</v>
      </c>
      <c r="C72" s="95">
        <f>IF(E69-C71&lt;0,0,E69-C71)</f>
        <v>2802.4400000000023</v>
      </c>
      <c r="D72" s="82" t="s">
        <v>58</v>
      </c>
      <c r="E72" s="71"/>
      <c r="G72" s="66"/>
      <c r="H72" s="66"/>
    </row>
    <row r="73" spans="1:8" ht="15.75" customHeight="1">
      <c r="A73" s="75" t="s">
        <v>149</v>
      </c>
      <c r="B73" s="77" t="s">
        <v>39</v>
      </c>
      <c r="C73" s="95">
        <f>E69</f>
        <v>35904.68</v>
      </c>
      <c r="D73" s="82" t="s">
        <v>58</v>
      </c>
      <c r="E73" s="71"/>
      <c r="G73" s="66"/>
      <c r="H73" s="66"/>
    </row>
    <row r="74" spans="1:8" ht="15.75" customHeight="1">
      <c r="A74" s="75" t="s">
        <v>150</v>
      </c>
      <c r="B74" s="77" t="s">
        <v>40</v>
      </c>
      <c r="C74" s="95">
        <f>E69</f>
        <v>35904.68</v>
      </c>
      <c r="D74" s="82" t="s">
        <v>58</v>
      </c>
      <c r="E74" s="71"/>
      <c r="G74" s="66"/>
      <c r="H74" s="66"/>
    </row>
    <row r="75" spans="1:8" ht="15.75" customHeight="1">
      <c r="A75" s="75" t="s">
        <v>151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152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36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37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157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158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159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160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44</v>
      </c>
      <c r="C2" s="108">
        <v>0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45</v>
      </c>
      <c r="C3" s="108">
        <v>1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46</v>
      </c>
      <c r="C4" s="109">
        <v>65266.12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2022-03-31T12:45:48Z</dcterms:modified>
</cp:coreProperties>
</file>