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7" i="2"/>
  <c r="D3" l="1"/>
  <c r="C7" i="3" l="1"/>
  <c r="J141" i="1" l="1"/>
  <c r="J136"/>
  <c r="J135"/>
  <c r="G134"/>
  <c r="J133"/>
  <c r="J128"/>
  <c r="J127"/>
  <c r="G126"/>
  <c r="C37" i="3"/>
  <c r="A98" i="1" s="1"/>
  <c r="C45" i="3"/>
  <c r="A108" i="1" s="1"/>
  <c r="C53" i="3"/>
  <c r="A117" i="1" s="1"/>
  <c r="C61" i="3"/>
  <c r="A125" i="1" s="1"/>
  <c r="C77" i="3"/>
  <c r="A140" i="1" s="1"/>
  <c r="C69" i="3"/>
  <c r="A132" i="1" s="1"/>
  <c r="J125"/>
  <c r="J120"/>
  <c r="J119"/>
  <c r="G118"/>
  <c r="J117"/>
  <c r="J112"/>
  <c r="J111"/>
  <c r="A111"/>
  <c r="G110"/>
  <c r="J109"/>
  <c r="J104"/>
  <c r="J103"/>
  <c r="A109"/>
  <c r="A105"/>
  <c r="G102"/>
  <c r="F102"/>
  <c r="J101"/>
  <c r="J96"/>
  <c r="J95"/>
  <c r="A99"/>
  <c r="A97"/>
  <c r="G94"/>
  <c r="F94"/>
  <c r="K94"/>
  <c r="A114" l="1"/>
  <c r="A123"/>
  <c r="A119"/>
  <c r="A110"/>
  <c r="A115"/>
  <c r="A118"/>
  <c r="D110"/>
  <c r="A112"/>
  <c r="A116"/>
  <c r="F110"/>
  <c r="A113"/>
  <c r="A94"/>
  <c r="A100"/>
  <c r="F134"/>
  <c r="A141"/>
  <c r="A95"/>
  <c r="D94"/>
  <c r="A96"/>
  <c r="A101"/>
  <c r="A122"/>
  <c r="A137"/>
  <c r="D118"/>
  <c r="A120"/>
  <c r="A124"/>
  <c r="F118"/>
  <c r="A121"/>
  <c r="A138"/>
  <c r="A102"/>
  <c r="A103"/>
  <c r="A107"/>
  <c r="A134"/>
  <c r="A135"/>
  <c r="A139"/>
  <c r="A106"/>
  <c r="D102"/>
  <c r="A104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N158" s="1" a="1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/>
  <c r="N184"/>
  <c r="A184" s="1"/>
  <c r="I184" s="1"/>
  <c r="N168"/>
  <c r="A168" s="1"/>
  <c r="I168" s="1"/>
  <c r="N181"/>
  <c r="A181" s="1"/>
  <c r="I181" s="1"/>
  <c r="N165"/>
  <c r="A165" s="1"/>
  <c r="I165" s="1"/>
  <c r="N179"/>
  <c r="A179" s="1"/>
  <c r="I179" s="1"/>
  <c r="N163"/>
  <c r="N178"/>
  <c r="A178" s="1"/>
  <c r="I178" s="1"/>
  <c r="N162"/>
  <c r="N180"/>
  <c r="A180" s="1"/>
  <c r="I180" s="1"/>
  <c r="N164"/>
  <c r="A164" s="1"/>
  <c r="I164" s="1"/>
  <c r="N177"/>
  <c r="A177" s="1"/>
  <c r="I177" s="1"/>
  <c r="N161"/>
  <c r="A161" s="1"/>
  <c r="N175"/>
  <c r="A175" s="1"/>
  <c r="I175" s="1"/>
  <c r="N159"/>
  <c r="N174"/>
  <c r="A174" s="1"/>
  <c r="I174" s="1"/>
  <c r="N176"/>
  <c r="A176" s="1"/>
  <c r="I176" s="1"/>
  <c r="N160"/>
  <c r="N173"/>
  <c r="A173" s="1"/>
  <c r="I173" s="1"/>
  <c r="N187"/>
  <c r="A187" s="1"/>
  <c r="I187" s="1"/>
  <c r="N171"/>
  <c r="A171" s="1"/>
  <c r="I171" s="1"/>
  <c r="N186"/>
  <c r="A186" s="1"/>
  <c r="I186" s="1"/>
  <c r="N170"/>
  <c r="A170" s="1"/>
  <c r="I170" s="1"/>
  <c r="N172"/>
  <c r="A172" s="1"/>
  <c r="I172" s="1"/>
  <c r="N185"/>
  <c r="A185" s="1"/>
  <c r="I185" s="1"/>
  <c r="N169"/>
  <c r="A169" s="1"/>
  <c r="I169" s="1"/>
  <c r="N183"/>
  <c r="A183" s="1"/>
  <c r="I183" s="1"/>
  <c r="N167"/>
  <c r="A167" s="1"/>
  <c r="I167" s="1"/>
  <c r="N182"/>
  <c r="A182" s="1"/>
  <c r="I182" s="1"/>
  <c r="N166"/>
  <c r="A166" s="1"/>
  <c r="I166" s="1"/>
  <c r="O28"/>
  <c r="F166" l="1"/>
  <c r="F186"/>
  <c r="H173"/>
  <c r="H186"/>
  <c r="H181"/>
  <c r="F184"/>
  <c r="H184"/>
  <c r="H183"/>
  <c r="H176"/>
  <c r="F176"/>
  <c r="H166"/>
  <c r="F183"/>
  <c r="H185"/>
  <c r="F181"/>
  <c r="F180"/>
  <c r="H175"/>
  <c r="F173"/>
  <c r="H170"/>
  <c r="F168"/>
  <c r="F174"/>
  <c r="H171"/>
  <c r="F164"/>
  <c r="H168"/>
  <c r="F165"/>
  <c r="F171"/>
  <c r="H165"/>
  <c r="H164"/>
  <c r="F167"/>
  <c r="F169"/>
  <c r="F170"/>
  <c r="H178"/>
  <c r="H180"/>
  <c r="H169"/>
  <c r="F172"/>
  <c r="F178"/>
  <c r="H182"/>
  <c r="H179"/>
  <c r="F175"/>
  <c r="F179"/>
  <c r="F177"/>
  <c r="F182"/>
  <c r="F187"/>
  <c r="H167"/>
  <c r="H187"/>
  <c r="H177"/>
  <c r="F185"/>
  <c r="H172"/>
  <c r="H174"/>
  <c r="A159"/>
  <c r="A160"/>
  <c r="A163"/>
  <c r="A162"/>
  <c r="A158"/>
  <c r="E155"/>
  <c r="H160" l="1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<sst xmlns="http://schemas.openxmlformats.org/spreadsheetml/2006/main" count="554" uniqueCount="204">
  <si>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</si>
  <si>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</si>
  <si>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</si>
  <si>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</si>
  <si>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</si>
  <si>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</si>
  <si>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</si>
  <si>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</si>
  <si>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</si>
  <si>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</si>
  <si>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</si>
  <si>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</si>
  <si>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</si>
  <si>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</si>
  <si>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</si>
  <si>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</si>
  <si>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</si>
  <si>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</si>
  <si>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</si>
  <si>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</si>
  <si>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</si>
  <si>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</si>
  <si>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</si>
  <si>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</si>
  <si>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</si>
  <si>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</si>
  <si>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</si>
  <si>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</si>
  <si>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</si>
  <si>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</si>
  <si>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</si>
  <si>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</si>
  <si>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</si>
  <si>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</si>
  <si>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</si>
  <si>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</si>
  <si>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</si>
  <si>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</si>
  <si>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</si>
  <si>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</si>
  <si>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</si>
  <si>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</si>
  <si>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</si>
  <si>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</si>
  <si>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</si>
  <si>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</si>
  <si>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</si>
  <si>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</si>
  <si>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</si>
  <si>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</si>
  <si>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</si>
  <si>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</si>
  <si>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</si>
  <si>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</si>
  <si>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</si>
  <si>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</si>
  <si>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</si>
  <si>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</si>
  <si>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</si>
  <si>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</si>
  <si>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</si>
  <si>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</si>
  <si>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</si>
  <si>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</si>
  <si>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</si>
  <si>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</si>
  <si>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</si>
  <si>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</si>
  <si>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</si>
  <si>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</si>
  <si>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</si>
  <si>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</si>
  <si>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</si>
  <si>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</si>
  <si>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</si>
  <si>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</si>
  <si>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</si>
  <si>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</si>
  <si>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</si>
  <si>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</si>
  <si>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</si>
  <si>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</si>
  <si>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</si>
  <si>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</si>
  <si>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</si>
  <si>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</si>
  <si>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</si>
  <si>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</si>
  <si>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</si>
  <si>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</si>
  <si>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</si>
  <si>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</si>
  <si>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</si>
  <si>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</si>
  <si>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</si>
  <si>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</si>
  <si>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</si>
  <si>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</si>
  <si>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</si>
  <si>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</si>
  <si>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</si>
  <si>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</si>
  <si>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</si>
  <si>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</si>
  <si>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</si>
  <si>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</si>
  <si>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</si>
  <si>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</si>
  <si>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</si>
  <si>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</si>
  <si>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</si>
  <si>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</si>
  <si>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</si>
  <si>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</si>
  <si>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</si>
  <si>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</si>
  <si>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</si>
  <si>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</si>
  <si>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</si>
  <si>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</si>
  <si>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</si>
  <si>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</si>
  <si>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</si>
  <si>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</si>
  <si>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</si>
  <si>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</si>
  <si>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</si>
  <si>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</si>
  <si>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</si>
  <si>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</si>
  <si>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</si>
  <si>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</si>
  <si>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</si>
  <si>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</si>
  <si>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</si>
  <si>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</si>
  <si>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</si>
  <si>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</si>
  <si>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</si>
  <si>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</si>
  <si>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</si>
  <si>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</si>
  <si>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</si>
  <si>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</si>
  <si>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</si>
  <si>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</si>
  <si>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</si>
  <si>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</si>
  <si>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</si>
  <si>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</si>
  <si>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</si>
  <si>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</si>
  <si>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</si>
  <si>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</si>
  <si>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</si>
  <si>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</si>
  <si>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</si>
  <si>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</si>
  <si>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</si>
  <si>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</si>
  <si>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</si>
  <si>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</si>
  <si>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</si>
  <si>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</si>
  <si>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</si>
  <si>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</si>
  <si>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</si>
  <si>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</si>
  <si>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</si>
  <si>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</si>
  <si>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</si>
  <si>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</si>
  <si>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</si>
  <si>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</si>
  <si>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</si>
  <si>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</si>
  <si>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Мамина-Сибиряка, 12/3</t>
  </si>
  <si>
    <t>Работы по содержанию лифта (лифтов)</t>
  </si>
  <si>
    <t>Техническое обслуживание охранной сигнализации.</t>
  </si>
  <si>
    <t>ежегодно</t>
  </si>
  <si>
    <t>площадь дома</t>
  </si>
  <si>
    <t>Отчет об исполнении договора управления многоквартирного дома 
Мамина-Сибиряка, 12/3 в части текущего ремонта</t>
  </si>
  <si>
    <t>Начало отчетного периода</t>
  </si>
  <si>
    <t xml:space="preserve">  -  техническое обслуживание охранной сигнализации</t>
  </si>
  <si>
    <t xml:space="preserve">  -  установка системы видеонаблюдения</t>
  </si>
  <si>
    <t xml:space="preserve">  -  монтаж греющего кабеля на кровли</t>
  </si>
  <si>
    <t>ежемесячно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</si>
  <si>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</si>
  <si>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</si>
  <si>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2021 году (руб.):</t>
  </si>
  <si>
    <t>Итого выполнено работ в 2021 года (руб.):</t>
  </si>
  <si>
    <t>Перерасход (+) или экономия 
(-) средств по состоянию на 31 декабря 2021 года (руб.):</t>
  </si>
  <si>
    <t>Приобретение и установка доводчика тамбурной двери.</t>
  </si>
  <si>
    <t>разово</t>
  </si>
  <si>
    <t>АВР 1/21 от 26.01.2021</t>
  </si>
  <si>
    <t>АВР 2/21 от 17.03.2021</t>
  </si>
  <si>
    <t>Ремонт пассажирского лифта (замена платы питания и модульной кнопки приказа 6 этаж).</t>
  </si>
  <si>
    <t>АВР 3/21 от 30.06.2021, Решение</t>
  </si>
  <si>
    <t>Приобретение и замена АКБ охранной сигнализации.</t>
  </si>
  <si>
    <t>Коммунальные ресурсы на содержание общего имущества</t>
  </si>
  <si>
    <t>Механизированная уборка и вывоз снега с придомовой территории.</t>
  </si>
  <si>
    <t>АВР 4/21 от 06.09.2021, счет №6433 от 03.09.2021</t>
  </si>
  <si>
    <t>АВР 5/21 от 31.12.2021</t>
  </si>
  <si>
    <t>АВР 6/21 от 31.12.2021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</si>
</sst>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84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6" fillId="0" borderId="0" xfId="2" applyFont="1" applyFill="1" applyBorder="1" applyAlignment="1"/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center"/>
    </xf>
    <xf numFmtId="0" fontId="5" fillId="0" borderId="0" xfId="4" applyFont="1" applyFill="1" applyBorder="1" applyAlignment="1"/>
    <xf numFmtId="0" fontId="5" fillId="0" borderId="0" xfId="6" applyFont="1" applyFill="1" applyBorder="1" applyAlignment="1"/>
    <xf numFmtId="0" fontId="5" fillId="0" borderId="0" xfId="6" applyFont="1" applyFill="1" applyBorder="1" applyAlignment="1">
      <alignment horizontal="center"/>
    </xf>
    <xf numFmtId="1" fontId="5" fillId="0" borderId="0" xfId="6" applyNumberFormat="1" applyFill="1" applyBorder="1" applyAlignment="1">
      <alignment horizontal="center"/>
    </xf>
    <xf numFmtId="4" fontId="5" fillId="0" borderId="0" xfId="6" applyNumberFormat="1" applyFill="1" applyBorder="1" applyAlignment="1"/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9" fontId="15" fillId="0" borderId="0" xfId="0" applyNumberFormat="1" applyFont="1" applyFill="1" applyBorder="1" applyAlignment="1">
      <alignment wrapText="1"/>
    </xf>
    <xf numFmtId="0" fontId="3" fillId="0" borderId="0" xfId="15" applyFont="1" applyFill="1" applyBorder="1" applyAlignment="1">
      <alignment horizontal="center"/>
    </xf>
    <xf numFmtId="0" fontId="3" fillId="0" borderId="0" xfId="15" applyNumberFormat="1" applyFill="1" applyBorder="1" applyAlignment="1">
      <alignment horizontal="center"/>
    </xf>
    <xf numFmtId="4" fontId="3" fillId="0" borderId="0" xfId="15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/>
    <xf numFmtId="4" fontId="0" fillId="0" borderId="0" xfId="0" applyNumberFormat="1" applyFill="1" applyBorder="1" applyAlignment="1"/>
    <xf numFmtId="0" fontId="3" fillId="0" borderId="0" xfId="15" applyFont="1" applyFill="1" applyBorder="1"/>
    <xf numFmtId="0" fontId="3" fillId="0" borderId="0" xfId="15" applyFont="1" applyFill="1" applyBorder="1" applyAlignment="1"/>
    <xf numFmtId="0" fontId="2" fillId="0" borderId="0" xfId="15" applyFont="1" applyFill="1" applyBorder="1" applyAlignment="1"/>
    <xf numFmtId="4" fontId="0" fillId="0" borderId="0" xfId="0" applyNumberFormat="1" applyBorder="1" applyAlignment="1">
      <alignment horizontal="center"/>
    </xf>
    <xf numFmtId="4" fontId="24" fillId="3" borderId="0" xfId="17" applyNumberFormat="1" applyFont="1" applyFill="1" applyBorder="1" applyAlignment="1">
      <alignment horizontal="left" vertical="center" wrapText="1"/>
    </xf>
    <xf numFmtId="0" fontId="8" fillId="0" borderId="0" xfId="5" applyFill="1" applyBorder="1" applyAlignment="1"/>
    <xf numFmtId="0" fontId="8" fillId="0" borderId="0" xfId="5" applyFill="1" applyBorder="1" applyAlignment="1">
      <alignment horizontal="center"/>
    </xf>
    <xf numFmtId="4" fontId="22" fillId="0" borderId="0" xfId="5" applyNumberFormat="1" applyFont="1" applyFill="1" applyBorder="1" applyAlignment="1"/>
    <xf numFmtId="0" fontId="0" fillId="0" borderId="0" xfId="0" applyFill="1" applyBorder="1"/>
    <xf numFmtId="0" fontId="4" fillId="0" borderId="0" xfId="5" applyFont="1" applyFill="1" applyBorder="1" applyAlignment="1">
      <alignment horizontal="center"/>
    </xf>
    <xf numFmtId="0" fontId="8" fillId="0" borderId="0" xfId="5" applyNumberFormat="1" applyFill="1" applyBorder="1" applyAlignment="1">
      <alignment horizontal="center"/>
    </xf>
    <xf numFmtId="4" fontId="8" fillId="0" borderId="0" xfId="5" applyNumberFormat="1" applyFill="1" applyBorder="1" applyAlignment="1">
      <alignment vertical="center"/>
    </xf>
    <xf numFmtId="0" fontId="12" fillId="0" borderId="0" xfId="0" applyFont="1" applyFill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4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4" fillId="0" borderId="1" xfId="0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18">
    <cellStyle name="Обычный" xfId="0" builtinId="0"/>
    <cellStyle name="Обычный 2" xfId="1"/>
    <cellStyle name="Обычный 2 2" xfId="3"/>
    <cellStyle name="Обычный 2 3" xfId="7"/>
    <cellStyle name="Обычный 2 4" xfId="12"/>
    <cellStyle name="Обычный 2 5" xfId="17"/>
    <cellStyle name="Обычный 3" xfId="2"/>
    <cellStyle name="Обычный 3 2" xfId="8"/>
    <cellStyle name="Обычный 3 3" xfId="13"/>
    <cellStyle name="Обычный 4" xfId="4"/>
    <cellStyle name="Обычный 4 2" xfId="9"/>
    <cellStyle name="Обычный 4 3" xfId="14"/>
    <cellStyle name="Обычный 5" xfId="5"/>
    <cellStyle name="Обычный 5 2" xfId="6"/>
    <cellStyle name="Обычный 5 2 2" xfId="11"/>
    <cellStyle name="Обычный 5 2 3" xfId="16"/>
    <cellStyle name="Обычный 5 3" xfId="10"/>
    <cellStyle name="Обычный 5 4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" sqref="K8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0" t="s">
        <v>176</v>
      </c>
      <c r="B2" s="170"/>
      <c r="C2" s="170"/>
      <c r="D2" s="170"/>
      <c r="E2" s="170"/>
      <c r="F2" s="170"/>
      <c r="G2" s="170"/>
      <c r="H2" s="170"/>
      <c r="I2" s="170"/>
      <c r="J2" s="170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182</v>
      </c>
      <c r="E4" s="116">
        <v>44197</v>
      </c>
      <c r="K4" s="109"/>
      <c r="L4" s="109"/>
      <c r="M4" s="109"/>
      <c r="N4" s="109"/>
    </row>
    <row r="5" spans="1:18">
      <c r="A5" s="1" t="s">
        <v>0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64" t="s">
        <v>1</v>
      </c>
      <c r="B8" s="165"/>
      <c r="C8" s="165"/>
      <c r="D8" s="165"/>
      <c r="E8" s="165"/>
      <c r="F8" s="165"/>
      <c r="G8" s="165"/>
      <c r="H8" s="165"/>
      <c r="I8" s="166"/>
      <c r="J8" s="17">
        <f t="shared" ref="J8:J24" si="0">VLOOKUP(O8,АО,3,FALSE)</f>
        <v>0</v>
      </c>
      <c r="K8" s="109"/>
      <c r="L8" s="171"/>
      <c r="M8" s="109"/>
      <c r="N8" s="109"/>
      <c r="O8" s="70" t="s">
        <v>82</v>
      </c>
      <c r="R8" s="16"/>
    </row>
    <row r="9" spans="1:18" ht="18.75" customHeight="1" outlineLevel="1">
      <c r="A9" s="164" t="s">
        <v>2</v>
      </c>
      <c r="B9" s="165"/>
      <c r="C9" s="165"/>
      <c r="D9" s="165"/>
      <c r="E9" s="165"/>
      <c r="F9" s="165"/>
      <c r="G9" s="165"/>
      <c r="H9" s="165"/>
      <c r="I9" s="166"/>
      <c r="J9" s="17">
        <f t="shared" si="0"/>
        <v>0</v>
      </c>
      <c r="K9" s="109"/>
      <c r="L9" s="171"/>
      <c r="M9" s="109"/>
      <c r="N9" s="109"/>
      <c r="O9" s="70" t="s">
        <v>83</v>
      </c>
    </row>
    <row r="10" spans="1:18" ht="18.75" customHeight="1" outlineLevel="1">
      <c r="A10" s="164" t="s">
        <v>3</v>
      </c>
      <c r="B10" s="165"/>
      <c r="C10" s="165"/>
      <c r="D10" s="165"/>
      <c r="E10" s="165"/>
      <c r="F10" s="165"/>
      <c r="G10" s="165"/>
      <c r="H10" s="165"/>
      <c r="I10" s="166"/>
      <c r="J10" s="17">
        <f t="shared" si="0"/>
        <v>574634.34</v>
      </c>
      <c r="K10" s="109"/>
      <c r="L10" s="171"/>
      <c r="M10" s="109"/>
      <c r="N10" s="109"/>
      <c r="O10" s="70" t="s">
        <v>84</v>
      </c>
    </row>
    <row r="11" spans="1:18" outlineLevel="1">
      <c r="A11" s="164" t="s">
        <v>4</v>
      </c>
      <c r="B11" s="165"/>
      <c r="C11" s="165"/>
      <c r="D11" s="165"/>
      <c r="E11" s="165"/>
      <c r="F11" s="165"/>
      <c r="G11" s="165"/>
      <c r="H11" s="165"/>
      <c r="I11" s="166"/>
      <c r="J11" s="17">
        <f t="shared" si="0"/>
        <v>545945.77600000007</v>
      </c>
      <c r="K11" s="109"/>
      <c r="L11" s="171"/>
      <c r="M11" s="109"/>
      <c r="N11" s="109"/>
      <c r="O11" s="70" t="s">
        <v>85</v>
      </c>
    </row>
    <row r="12" spans="1:18" ht="18.75" customHeight="1" outlineLevel="1">
      <c r="A12" s="164" t="s">
        <v>5</v>
      </c>
      <c r="B12" s="165"/>
      <c r="C12" s="165"/>
      <c r="D12" s="165"/>
      <c r="E12" s="165"/>
      <c r="F12" s="165"/>
      <c r="G12" s="165"/>
      <c r="H12" s="165"/>
      <c r="I12" s="166"/>
      <c r="J12" s="17">
        <f t="shared" si="0"/>
        <v>418693.84</v>
      </c>
      <c r="K12" s="109"/>
      <c r="L12" s="171"/>
      <c r="M12" s="109"/>
      <c r="N12" s="109"/>
      <c r="O12" s="70" t="s">
        <v>86</v>
      </c>
    </row>
    <row r="13" spans="1:18" ht="18.75" customHeight="1" outlineLevel="1">
      <c r="A13" s="164" t="s">
        <v>6</v>
      </c>
      <c r="B13" s="165"/>
      <c r="C13" s="165"/>
      <c r="D13" s="165"/>
      <c r="E13" s="165"/>
      <c r="F13" s="165"/>
      <c r="G13" s="165"/>
      <c r="H13" s="165"/>
      <c r="I13" s="166"/>
      <c r="J13" s="17">
        <f t="shared" si="0"/>
        <v>127251.93599999999</v>
      </c>
      <c r="K13" s="109"/>
      <c r="L13" s="171"/>
      <c r="M13" s="109"/>
      <c r="N13" s="109"/>
      <c r="O13" s="70" t="s">
        <v>87</v>
      </c>
    </row>
    <row r="14" spans="1:18" ht="18.75" customHeight="1" outlineLevel="1">
      <c r="A14" s="164" t="s">
        <v>7</v>
      </c>
      <c r="B14" s="165"/>
      <c r="C14" s="165"/>
      <c r="D14" s="165"/>
      <c r="E14" s="165"/>
      <c r="F14" s="165"/>
      <c r="G14" s="165"/>
      <c r="H14" s="165"/>
      <c r="I14" s="166"/>
      <c r="J14" s="17">
        <f t="shared" si="0"/>
        <v>0</v>
      </c>
      <c r="K14" s="109"/>
      <c r="L14" s="171"/>
      <c r="M14" s="109"/>
      <c r="N14" s="109"/>
      <c r="O14" s="70" t="s">
        <v>88</v>
      </c>
    </row>
    <row r="15" spans="1:18" ht="18.75" customHeight="1" outlineLevel="1">
      <c r="A15" s="164" t="s">
        <v>8</v>
      </c>
      <c r="B15" s="165"/>
      <c r="C15" s="165"/>
      <c r="D15" s="165"/>
      <c r="E15" s="165"/>
      <c r="F15" s="165"/>
      <c r="G15" s="165"/>
      <c r="H15" s="165"/>
      <c r="I15" s="166"/>
      <c r="J15" s="17">
        <f t="shared" si="0"/>
        <v>521198.03</v>
      </c>
      <c r="K15" s="109"/>
      <c r="L15" s="171"/>
      <c r="M15" s="109"/>
      <c r="N15" s="109"/>
      <c r="O15" s="70" t="s">
        <v>89</v>
      </c>
    </row>
    <row r="16" spans="1:18" ht="18.75" customHeight="1" outlineLevel="1">
      <c r="A16" s="164" t="s">
        <v>9</v>
      </c>
      <c r="B16" s="165"/>
      <c r="C16" s="165"/>
      <c r="D16" s="165"/>
      <c r="E16" s="165"/>
      <c r="F16" s="165"/>
      <c r="G16" s="165"/>
      <c r="H16" s="165"/>
      <c r="I16" s="166"/>
      <c r="J16" s="17">
        <f t="shared" si="0"/>
        <v>521198.03</v>
      </c>
      <c r="K16" s="109"/>
      <c r="L16" s="171"/>
      <c r="M16" s="109"/>
      <c r="N16" s="109"/>
      <c r="O16" s="70" t="s">
        <v>90</v>
      </c>
    </row>
    <row r="17" spans="1:23" ht="18.75" customHeight="1" outlineLevel="1">
      <c r="A17" s="164" t="s">
        <v>10</v>
      </c>
      <c r="B17" s="165"/>
      <c r="C17" s="165"/>
      <c r="D17" s="165"/>
      <c r="E17" s="165"/>
      <c r="F17" s="165"/>
      <c r="G17" s="165"/>
      <c r="H17" s="165"/>
      <c r="I17" s="166"/>
      <c r="J17" s="17">
        <f t="shared" si="0"/>
        <v>0</v>
      </c>
      <c r="K17" s="109"/>
      <c r="L17" s="171"/>
      <c r="M17" s="109"/>
      <c r="N17" s="109"/>
      <c r="O17" s="70" t="s">
        <v>91</v>
      </c>
    </row>
    <row r="18" spans="1:23" ht="18.75" customHeight="1" outlineLevel="1">
      <c r="A18" s="164" t="s">
        <v>11</v>
      </c>
      <c r="B18" s="165"/>
      <c r="C18" s="165"/>
      <c r="D18" s="165"/>
      <c r="E18" s="165"/>
      <c r="F18" s="165"/>
      <c r="G18" s="165"/>
      <c r="H18" s="165"/>
      <c r="I18" s="166"/>
      <c r="J18" s="17">
        <f t="shared" si="0"/>
        <v>0</v>
      </c>
      <c r="K18" s="109"/>
      <c r="L18" s="171"/>
      <c r="M18" s="109"/>
      <c r="N18" s="109"/>
      <c r="O18" s="70" t="s">
        <v>92</v>
      </c>
    </row>
    <row r="19" spans="1:23" ht="18.75" customHeight="1" outlineLevel="1">
      <c r="A19" s="164" t="s">
        <v>12</v>
      </c>
      <c r="B19" s="165"/>
      <c r="C19" s="165"/>
      <c r="D19" s="165"/>
      <c r="E19" s="165"/>
      <c r="F19" s="165"/>
      <c r="G19" s="165"/>
      <c r="H19" s="165"/>
      <c r="I19" s="166"/>
      <c r="J19" s="17">
        <f t="shared" si="0"/>
        <v>0</v>
      </c>
      <c r="K19" s="109"/>
      <c r="L19" s="171"/>
      <c r="M19" s="109"/>
      <c r="N19" s="109"/>
      <c r="O19" s="70" t="s">
        <v>93</v>
      </c>
    </row>
    <row r="20" spans="1:23" ht="18.75" customHeight="1" outlineLevel="1">
      <c r="A20" s="164" t="s">
        <v>13</v>
      </c>
      <c r="B20" s="165"/>
      <c r="C20" s="165"/>
      <c r="D20" s="165"/>
      <c r="E20" s="165"/>
      <c r="F20" s="165"/>
      <c r="G20" s="165"/>
      <c r="H20" s="165"/>
      <c r="I20" s="166"/>
      <c r="J20" s="17">
        <f t="shared" si="0"/>
        <v>0</v>
      </c>
      <c r="K20" s="109"/>
      <c r="L20" s="171"/>
      <c r="M20" s="109"/>
      <c r="N20" s="109"/>
      <c r="O20" s="70" t="s">
        <v>94</v>
      </c>
    </row>
    <row r="21" spans="1:23" ht="18.75" customHeight="1" outlineLevel="1">
      <c r="A21" s="164" t="s">
        <v>14</v>
      </c>
      <c r="B21" s="165"/>
      <c r="C21" s="165"/>
      <c r="D21" s="165"/>
      <c r="E21" s="165"/>
      <c r="F21" s="165"/>
      <c r="G21" s="165"/>
      <c r="H21" s="165"/>
      <c r="I21" s="166"/>
      <c r="J21" s="17">
        <f t="shared" si="0"/>
        <v>521198.03</v>
      </c>
      <c r="K21" s="109"/>
      <c r="L21" s="171"/>
      <c r="M21" s="109"/>
      <c r="N21" s="109"/>
      <c r="O21" s="70" t="s">
        <v>95</v>
      </c>
    </row>
    <row r="22" spans="1:23" ht="18.75" customHeight="1" outlineLevel="1">
      <c r="A22" s="164" t="s">
        <v>15</v>
      </c>
      <c r="B22" s="165"/>
      <c r="C22" s="165"/>
      <c r="D22" s="165"/>
      <c r="E22" s="165"/>
      <c r="F22" s="165"/>
      <c r="G22" s="165"/>
      <c r="H22" s="165"/>
      <c r="I22" s="166"/>
      <c r="J22" s="17">
        <f t="shared" si="0"/>
        <v>0</v>
      </c>
      <c r="K22" s="109"/>
      <c r="L22" s="171"/>
      <c r="M22" s="109"/>
      <c r="N22" s="109"/>
      <c r="O22" s="70" t="s">
        <v>96</v>
      </c>
    </row>
    <row r="23" spans="1:23" ht="18.75" customHeight="1" outlineLevel="1">
      <c r="A23" s="164" t="s">
        <v>16</v>
      </c>
      <c r="B23" s="165"/>
      <c r="C23" s="165"/>
      <c r="D23" s="165"/>
      <c r="E23" s="165"/>
      <c r="F23" s="165"/>
      <c r="G23" s="165"/>
      <c r="H23" s="165"/>
      <c r="I23" s="166"/>
      <c r="J23" s="17">
        <f t="shared" si="0"/>
        <v>0</v>
      </c>
      <c r="K23" s="109"/>
      <c r="L23" s="171"/>
      <c r="M23" s="109"/>
      <c r="N23" s="109"/>
      <c r="O23" s="70" t="s">
        <v>97</v>
      </c>
    </row>
    <row r="24" spans="1:23" ht="18.75" customHeight="1" outlineLevel="1">
      <c r="A24" s="164" t="s">
        <v>17</v>
      </c>
      <c r="B24" s="165"/>
      <c r="C24" s="165"/>
      <c r="D24" s="165"/>
      <c r="E24" s="165"/>
      <c r="F24" s="165"/>
      <c r="G24" s="165"/>
      <c r="H24" s="165"/>
      <c r="I24" s="166"/>
      <c r="J24" s="17">
        <f t="shared" si="0"/>
        <v>599382.08599999989</v>
      </c>
      <c r="K24" s="109"/>
      <c r="L24" s="171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63" t="s">
        <v>18</v>
      </c>
      <c r="B27" s="163"/>
      <c r="C27" s="163"/>
      <c r="D27" s="163"/>
      <c r="E27" s="163"/>
      <c r="F27" s="163" t="s">
        <v>19</v>
      </c>
      <c r="G27" s="163"/>
      <c r="H27" s="5" t="s">
        <v>56</v>
      </c>
      <c r="I27" s="163" t="s">
        <v>20</v>
      </c>
      <c r="J27" s="163"/>
      <c r="K27" s="109"/>
      <c r="L27" s="172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5"/>
      <c r="C28" s="155"/>
      <c r="D28" s="155"/>
      <c r="E28" s="155"/>
      <c r="F28" s="160">
        <f>VLOOKUP(A28,ПТО!$A$39:$D$53,2,FALSE)</f>
        <v>121882.68</v>
      </c>
      <c r="G28" s="160"/>
      <c r="H28" s="6" t="str">
        <f>VLOOKUP(A28,ПТО!$A$39:$D$53,3,FALSE)</f>
        <v>Ежемесячно</v>
      </c>
      <c r="I28" s="156">
        <f>VLOOKUP(A28,ПТО!$A$39:$D$53,4,FALSE)</f>
        <v>12</v>
      </c>
      <c r="J28" s="156"/>
      <c r="K28" s="109"/>
      <c r="L28" s="172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5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5"/>
      <c r="C29" s="155"/>
      <c r="D29" s="155"/>
      <c r="E29" s="155"/>
      <c r="F29" s="160">
        <f>VLOOKUP(A29,ПТО!$A$39:$D$53,2,FALSE)</f>
        <v>107117.16</v>
      </c>
      <c r="G29" s="160"/>
      <c r="H29" s="42" t="str">
        <f>VLOOKUP(A29,ПТО!$A$39:$D$53,3,FALSE)</f>
        <v>Ежемесячно</v>
      </c>
      <c r="I29" s="156">
        <f>VLOOKUP(A29,ПТО!$A$39:$D$53,4,FALSE)</f>
        <v>12</v>
      </c>
      <c r="J29" s="156"/>
      <c r="K29" s="109"/>
      <c r="L29" s="172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5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5"/>
      <c r="C30" s="155"/>
      <c r="D30" s="155"/>
      <c r="E30" s="155"/>
      <c r="F30" s="160">
        <f>VLOOKUP(A30,ПТО!$A$39:$D$53,2,FALSE)</f>
        <v>35974.199999999997</v>
      </c>
      <c r="G30" s="160"/>
      <c r="H30" s="42" t="str">
        <f>VLOOKUP(A30,ПТО!$A$39:$D$53,3,FALSE)</f>
        <v>В соответствии с графиком</v>
      </c>
      <c r="I30" s="156">
        <f>VLOOKUP(A30,ПТО!$A$39:$D$53,4,FALSE)</f>
        <v>12</v>
      </c>
      <c r="J30" s="156"/>
      <c r="K30" s="109"/>
      <c r="L30" s="172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5" t="str">
        <f>ПТО!A42</f>
        <v>Работы, выполняемые для надлежащего содержания электрооборудования дома</v>
      </c>
      <c r="B31" s="155"/>
      <c r="C31" s="155"/>
      <c r="D31" s="155"/>
      <c r="E31" s="155"/>
      <c r="F31" s="160">
        <f>VLOOKUP(A31,ПТО!$A$39:$D$53,2,FALSE)</f>
        <v>32215.68</v>
      </c>
      <c r="G31" s="160"/>
      <c r="H31" s="42" t="str">
        <f>VLOOKUP(A31,ПТО!$A$39:$D$53,3,FALSE)</f>
        <v>Ежемесячно</v>
      </c>
      <c r="I31" s="156">
        <f>VLOOKUP(A31,ПТО!$A$39:$D$53,4,FALSE)</f>
        <v>12</v>
      </c>
      <c r="J31" s="156"/>
      <c r="K31" s="109"/>
      <c r="L31" s="172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5">
        <f>ПТО!A43</f>
        <v>0</v>
      </c>
      <c r="B32" s="155"/>
      <c r="C32" s="155"/>
      <c r="D32" s="155"/>
      <c r="E32" s="155"/>
      <c r="F32" s="160" t="e">
        <f>VLOOKUP(A32,ПТО!$A$39:$D$53,2,FALSE)</f>
        <v>#N/A</v>
      </c>
      <c r="G32" s="160"/>
      <c r="H32" s="42" t="e">
        <f>VLOOKUP(A32,ПТО!$A$39:$D$53,3,FALSE)</f>
        <v>#N/A</v>
      </c>
      <c r="I32" s="156" t="e">
        <f>VLOOKUP(A32,ПТО!$A$39:$D$53,4,FALSE)</f>
        <v>#N/A</v>
      </c>
      <c r="J32" s="156"/>
      <c r="K32" s="109"/>
      <c r="L32" s="172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5" t="str">
        <f>ПТО!A44</f>
        <v>Обеспечение устранения аварий на внутридомовых инженерных системах в многоквартирном доме</v>
      </c>
      <c r="B33" s="155"/>
      <c r="C33" s="155"/>
      <c r="D33" s="155"/>
      <c r="E33" s="155"/>
      <c r="F33" s="160">
        <f>VLOOKUP(A33,ПТО!$A$39:$D$53,2,FALSE)</f>
        <v>10738.56</v>
      </c>
      <c r="G33" s="160"/>
      <c r="H33" s="42" t="str">
        <f>VLOOKUP(A33,ПТО!$A$39:$D$53,3,FALSE)</f>
        <v>Круглосуточно</v>
      </c>
      <c r="I33" s="156">
        <f>VLOOKUP(A33,ПТО!$A$39:$D$53,4,FALSE)</f>
        <v>12</v>
      </c>
      <c r="J33" s="156"/>
      <c r="K33" s="109"/>
      <c r="L33" s="172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5" t="str">
        <f>ПТО!A45</f>
        <v>Работы по содержанию помещений, входящих в состав общего имущества в многоквартирном доме</v>
      </c>
      <c r="B34" s="155"/>
      <c r="C34" s="155"/>
      <c r="D34" s="155"/>
      <c r="E34" s="155"/>
      <c r="F34" s="160">
        <f>VLOOKUP(A34,ПТО!$A$39:$D$53,2,FALSE)</f>
        <v>50202.720000000001</v>
      </c>
      <c r="G34" s="160"/>
      <c r="H34" s="42" t="str">
        <f>VLOOKUP(A34,ПТО!$A$39:$D$53,3,FALSE)</f>
        <v>В соответствии с графиком</v>
      </c>
      <c r="I34" s="156">
        <f>VLOOKUP(A34,ПТО!$A$39:$D$53,4,FALSE)</f>
        <v>12</v>
      </c>
      <c r="J34" s="156"/>
      <c r="K34" s="109"/>
      <c r="L34" s="172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5" t="str">
        <f>ПТО!A46</f>
        <v>Работы по содержанию лифта (лифтов)</v>
      </c>
      <c r="B35" s="155"/>
      <c r="C35" s="155"/>
      <c r="D35" s="155"/>
      <c r="E35" s="155"/>
      <c r="F35" s="160">
        <f>VLOOKUP(A35,ПТО!$A$39:$D$53,2,FALSE)</f>
        <v>53961.24</v>
      </c>
      <c r="G35" s="160"/>
      <c r="H35" s="42" t="str">
        <f>VLOOKUP(A35,ПТО!$A$39:$D$53,3,FALSE)</f>
        <v>Ежемесячно</v>
      </c>
      <c r="I35" s="156">
        <f>VLOOKUP(A35,ПТО!$A$39:$D$53,4,FALSE)</f>
        <v>12</v>
      </c>
      <c r="J35" s="156"/>
      <c r="K35" s="109"/>
      <c r="L35" s="172"/>
      <c r="M35" s="115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customHeight="1" outlineLevel="1">
      <c r="A36" s="155" t="str">
        <f>ПТО!A47</f>
        <v>Коммунальные ресурсы на содержание общего имущества</v>
      </c>
      <c r="B36" s="155"/>
      <c r="C36" s="155"/>
      <c r="D36" s="155"/>
      <c r="E36" s="155"/>
      <c r="F36" s="160">
        <f>VLOOKUP(A36,ПТО!$A$39:$D$53,2,FALSE)</f>
        <v>40645.233</v>
      </c>
      <c r="G36" s="160"/>
      <c r="H36" s="42" t="str">
        <f>VLOOKUP(A36,ПТО!$A$39:$D$53,3,FALSE)</f>
        <v>Ежемесячно</v>
      </c>
      <c r="I36" s="156">
        <f>VLOOKUP(A36,ПТО!$A$39:$D$53,4,FALSE)</f>
        <v>12</v>
      </c>
      <c r="J36" s="156"/>
      <c r="K36" s="109"/>
      <c r="L36" s="172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55">
        <f>ПТО!A48</f>
        <v>0</v>
      </c>
      <c r="B37" s="155"/>
      <c r="C37" s="155"/>
      <c r="D37" s="155"/>
      <c r="E37" s="155"/>
      <c r="F37" s="160" t="e">
        <f>VLOOKUP(A37,ПТО!$A$39:$D$53,2,FALSE)</f>
        <v>#N/A</v>
      </c>
      <c r="G37" s="160"/>
      <c r="H37" s="42" t="e">
        <f>VLOOKUP(A37,ПТО!$A$39:$D$53,3,FALSE)</f>
        <v>#N/A</v>
      </c>
      <c r="I37" s="156" t="e">
        <f>VLOOKUP(A37,ПТО!$A$39:$D$53,4,FALSE)</f>
        <v>#N/A</v>
      </c>
      <c r="J37" s="156"/>
      <c r="K37" s="109"/>
      <c r="L37" s="172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5">
        <f>ПТО!A49</f>
        <v>0</v>
      </c>
      <c r="B38" s="155"/>
      <c r="C38" s="155"/>
      <c r="D38" s="155"/>
      <c r="E38" s="155"/>
      <c r="F38" s="160" t="e">
        <f>VLOOKUP(A38,ПТО!$A$39:$D$53,2,FALSE)</f>
        <v>#N/A</v>
      </c>
      <c r="G38" s="160"/>
      <c r="H38" s="42" t="e">
        <f>VLOOKUP(A38,ПТО!$A$39:$D$53,3,FALSE)</f>
        <v>#N/A</v>
      </c>
      <c r="I38" s="156" t="e">
        <f>VLOOKUP(A38,ПТО!$A$39:$D$53,4,FALSE)</f>
        <v>#N/A</v>
      </c>
      <c r="J38" s="156"/>
      <c r="K38" s="109"/>
      <c r="L38" s="172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5">
        <f>ПТО!A50</f>
        <v>0</v>
      </c>
      <c r="B39" s="155"/>
      <c r="C39" s="155"/>
      <c r="D39" s="155"/>
      <c r="E39" s="155"/>
      <c r="F39" s="160" t="e">
        <f>VLOOKUP(A39,ПТО!$A$39:$D$53,2,FALSE)</f>
        <v>#N/A</v>
      </c>
      <c r="G39" s="160"/>
      <c r="H39" s="42" t="e">
        <f>VLOOKUP(A39,ПТО!$A$39:$D$53,3,FALSE)</f>
        <v>#N/A</v>
      </c>
      <c r="I39" s="156" t="e">
        <f>VLOOKUP(A39,ПТО!$A$39:$D$53,4,FALSE)</f>
        <v>#N/A</v>
      </c>
      <c r="J39" s="156"/>
      <c r="K39" s="109"/>
      <c r="L39" s="172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5">
        <f>ПТО!A51</f>
        <v>0</v>
      </c>
      <c r="B40" s="155"/>
      <c r="C40" s="155"/>
      <c r="D40" s="155"/>
      <c r="E40" s="155"/>
      <c r="F40" s="160" t="e">
        <f>VLOOKUP(A40,ПТО!$A$39:$D$53,2,FALSE)</f>
        <v>#N/A</v>
      </c>
      <c r="G40" s="160"/>
      <c r="H40" s="42" t="e">
        <f>VLOOKUP(A40,ПТО!$A$39:$D$53,3,FALSE)</f>
        <v>#N/A</v>
      </c>
      <c r="I40" s="156" t="e">
        <f>VLOOKUP(A40,ПТО!$A$39:$D$53,4,FALSE)</f>
        <v>#N/A</v>
      </c>
      <c r="J40" s="156"/>
      <c r="K40" s="109"/>
      <c r="L40" s="172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5">
        <f>ПТО!A52</f>
        <v>0</v>
      </c>
      <c r="B41" s="155"/>
      <c r="C41" s="155"/>
      <c r="D41" s="155"/>
      <c r="E41" s="155"/>
      <c r="F41" s="160" t="e">
        <f>VLOOKUP(A41,ПТО!$A$39:$D$53,2,FALSE)</f>
        <v>#N/A</v>
      </c>
      <c r="G41" s="160"/>
      <c r="H41" s="42" t="e">
        <f>VLOOKUP(A41,ПТО!$A$39:$D$53,3,FALSE)</f>
        <v>#N/A</v>
      </c>
      <c r="I41" s="156" t="e">
        <f>VLOOKUP(A41,ПТО!$A$39:$D$53,4,FALSE)</f>
        <v>#N/A</v>
      </c>
      <c r="J41" s="156"/>
      <c r="K41" s="109"/>
      <c r="L41" s="172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5">
        <f>ПТО!A53</f>
        <v>0</v>
      </c>
      <c r="B42" s="155"/>
      <c r="C42" s="155"/>
      <c r="D42" s="155"/>
      <c r="E42" s="155"/>
      <c r="F42" s="160" t="e">
        <f>VLOOKUP(A42,ПТО!$A$39:$D$53,2,FALSE)</f>
        <v>#N/A</v>
      </c>
      <c r="G42" s="160"/>
      <c r="H42" s="42" t="e">
        <f>VLOOKUP(A42,ПТО!$A$39:$D$53,3,FALSE)</f>
        <v>#N/A</v>
      </c>
      <c r="I42" s="156" t="e">
        <f>VLOOKUP(A42,ПТО!$A$39:$D$53,4,FALSE)</f>
        <v>#N/A</v>
      </c>
      <c r="J42" s="156"/>
      <c r="K42" s="109"/>
      <c r="L42" s="172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55" t="str">
        <f>ПТО!A2</f>
        <v>Техническое освидетельствование лифта.</v>
      </c>
      <c r="B43" s="155"/>
      <c r="C43" s="155"/>
      <c r="D43" s="155"/>
      <c r="E43" s="155"/>
      <c r="F43" s="160">
        <f>VLOOKUP(A43,ПТО!$A$2:$D$31,4,FALSE)</f>
        <v>8100</v>
      </c>
      <c r="G43" s="160"/>
      <c r="H43" s="19" t="str">
        <f>VLOOKUP(A43,ПТО!$A$2:$D$31,2,FALSE)</f>
        <v>ежегодно</v>
      </c>
      <c r="I43" s="156">
        <f>VLOOKUP(A43,ПТО!$A$2:$D$31,3,FALSE)</f>
        <v>1</v>
      </c>
      <c r="J43" s="156"/>
      <c r="K43" s="109"/>
      <c r="L43" s="172"/>
      <c r="M43" s="115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5" t="str">
        <f>ПТО!A3</f>
        <v>Техническое обслуживание охранной сигнализации.</v>
      </c>
      <c r="B44" s="155"/>
      <c r="C44" s="155"/>
      <c r="D44" s="155"/>
      <c r="E44" s="155"/>
      <c r="F44" s="160">
        <f>VLOOKUP(A44,ПТО!$A$2:$D$31,4,FALSE)</f>
        <v>11550.000000000002</v>
      </c>
      <c r="G44" s="160"/>
      <c r="H44" s="25" t="str">
        <f>VLOOKUP(A44,ПТО!$A$2:$D$31,2,FALSE)</f>
        <v>ежемесячно</v>
      </c>
      <c r="I44" s="156">
        <f>VLOOKUP(A44,ПТО!$A$2:$D$31,3,FALSE)</f>
        <v>12</v>
      </c>
      <c r="J44" s="156"/>
      <c r="K44" s="109"/>
      <c r="L44" s="172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55" t="str">
        <f>ПТО!A4</f>
        <v>Приобретение и установка доводчика тамбурной двери.</v>
      </c>
      <c r="B45" s="155"/>
      <c r="C45" s="155"/>
      <c r="D45" s="155"/>
      <c r="E45" s="155"/>
      <c r="F45" s="160">
        <f>VLOOKUP(A45,ПТО!$A$2:$D$31,4,FALSE)</f>
        <v>1200</v>
      </c>
      <c r="G45" s="160"/>
      <c r="H45" s="25" t="str">
        <f>VLOOKUP(A45,ПТО!$A$2:$D$31,2,FALSE)</f>
        <v>разово</v>
      </c>
      <c r="I45" s="156">
        <f>VLOOKUP(A45,ПТО!$A$2:$D$31,3,FALSE)</f>
        <v>1</v>
      </c>
      <c r="J45" s="156"/>
      <c r="K45" s="109"/>
      <c r="L45" s="172"/>
      <c r="M45" s="115"/>
      <c r="N45" s="109"/>
      <c r="O45" s="23" t="str">
        <f t="shared" si="1"/>
        <v>Приобретение и установка доводчика тамбурной двери.</v>
      </c>
      <c r="R45" s="22" t="s">
        <v>71</v>
      </c>
    </row>
    <row r="46" spans="1:18" ht="51" customHeight="1" outlineLevel="1">
      <c r="A46" s="155" t="str">
        <f>ПТО!A5</f>
        <v>Механизированная уборка и вывоз снега с придомовой территории.</v>
      </c>
      <c r="B46" s="155"/>
      <c r="C46" s="155"/>
      <c r="D46" s="155"/>
      <c r="E46" s="155"/>
      <c r="F46" s="160">
        <f>VLOOKUP(A46,ПТО!$A$2:$D$31,4,FALSE)</f>
        <v>21000</v>
      </c>
      <c r="G46" s="160"/>
      <c r="H46" s="25" t="str">
        <f>VLOOKUP(A46,ПТО!$A$2:$D$31,2,FALSE)</f>
        <v>разово</v>
      </c>
      <c r="I46" s="156">
        <f>VLOOKUP(A46,ПТО!$A$2:$D$31,3,FALSE)</f>
        <v>1</v>
      </c>
      <c r="J46" s="156"/>
      <c r="K46" s="109"/>
      <c r="L46" s="172"/>
      <c r="M46" s="115"/>
      <c r="N46" s="109"/>
      <c r="O46" s="23" t="str">
        <f t="shared" si="1"/>
        <v>Механизированная уборка и вывоз снега с придомовой территории.</v>
      </c>
      <c r="R46" s="22" t="s">
        <v>71</v>
      </c>
    </row>
    <row r="47" spans="1:18" ht="51" customHeight="1" outlineLevel="1">
      <c r="A47" s="155" t="str">
        <f>ПТО!A6</f>
        <v>Ремонт пассажирского лифта (замена платы питания и модульной кнопки приказа 6 этаж).</v>
      </c>
      <c r="B47" s="155"/>
      <c r="C47" s="155"/>
      <c r="D47" s="155"/>
      <c r="E47" s="155"/>
      <c r="F47" s="160">
        <f>VLOOKUP(A47,ПТО!$A$2:$D$31,4,FALSE)</f>
        <v>17749</v>
      </c>
      <c r="G47" s="160"/>
      <c r="H47" s="25" t="str">
        <f>VLOOKUP(A47,ПТО!$A$2:$D$31,2,FALSE)</f>
        <v>разово</v>
      </c>
      <c r="I47" s="156">
        <f>VLOOKUP(A47,ПТО!$A$2:$D$31,3,FALSE)</f>
        <v>1</v>
      </c>
      <c r="J47" s="156"/>
      <c r="K47" s="109"/>
      <c r="L47" s="172"/>
      <c r="M47" s="115"/>
      <c r="N47" s="109"/>
      <c r="O47" s="23" t="str">
        <f t="shared" si="1"/>
        <v>Ремонт пассажирского лифта (замена платы питания и модульной кнопки приказа 6 этаж).</v>
      </c>
      <c r="R47" s="22" t="s">
        <v>71</v>
      </c>
    </row>
    <row r="48" spans="1:18" ht="51" customHeight="1" outlineLevel="1">
      <c r="A48" s="155" t="str">
        <f>ПТО!A7</f>
        <v>Приобретение и замена АКБ охранной сигнализации.</v>
      </c>
      <c r="B48" s="155"/>
      <c r="C48" s="155"/>
      <c r="D48" s="155"/>
      <c r="E48" s="155"/>
      <c r="F48" s="160">
        <f>VLOOKUP(A48,ПТО!$A$2:$D$31,4,FALSE)</f>
        <v>400</v>
      </c>
      <c r="G48" s="160"/>
      <c r="H48" s="25" t="str">
        <f>VLOOKUP(A48,ПТО!$A$2:$D$31,2,FALSE)</f>
        <v>разово</v>
      </c>
      <c r="I48" s="156">
        <f>VLOOKUP(A48,ПТО!$A$2:$D$31,3,FALSE)</f>
        <v>1</v>
      </c>
      <c r="J48" s="156"/>
      <c r="K48" s="109"/>
      <c r="L48" s="172"/>
      <c r="M48" s="115"/>
      <c r="N48" s="109"/>
      <c r="O48" s="23" t="str">
        <f t="shared" si="1"/>
        <v>Приобретение и замена АКБ охранной сигнализации.</v>
      </c>
      <c r="R48" s="22" t="s">
        <v>71</v>
      </c>
    </row>
    <row r="49" spans="1:18" ht="51" hidden="1" customHeight="1" outlineLevel="1">
      <c r="A49" s="155">
        <f>ПТО!A8</f>
        <v>0</v>
      </c>
      <c r="B49" s="155"/>
      <c r="C49" s="155"/>
      <c r="D49" s="155"/>
      <c r="E49" s="155"/>
      <c r="F49" s="160" t="e">
        <f>VLOOKUP(A49,ПТО!$A$2:$D$31,4,FALSE)</f>
        <v>#N/A</v>
      </c>
      <c r="G49" s="160"/>
      <c r="H49" s="25" t="e">
        <f>VLOOKUP(A49,ПТО!$A$2:$D$31,2,FALSE)</f>
        <v>#N/A</v>
      </c>
      <c r="I49" s="156" t="e">
        <f>VLOOKUP(A49,ПТО!$A$2:$D$31,3,FALSE)</f>
        <v>#N/A</v>
      </c>
      <c r="J49" s="156"/>
      <c r="K49" s="109"/>
      <c r="L49" s="172"/>
      <c r="M49" s="115"/>
      <c r="N49" s="109"/>
      <c r="O49" s="23">
        <f t="shared" si="1"/>
        <v>0</v>
      </c>
      <c r="R49" s="22" t="s">
        <v>71</v>
      </c>
    </row>
    <row r="50" spans="1:18" ht="51" hidden="1" customHeight="1" outlineLevel="1">
      <c r="A50" s="155">
        <f>ПТО!A9</f>
        <v>0</v>
      </c>
      <c r="B50" s="155"/>
      <c r="C50" s="155"/>
      <c r="D50" s="155"/>
      <c r="E50" s="155"/>
      <c r="F50" s="160" t="e">
        <f>VLOOKUP(A50,ПТО!$A$2:$D$31,4,FALSE)</f>
        <v>#N/A</v>
      </c>
      <c r="G50" s="160"/>
      <c r="H50" s="25" t="e">
        <f>VLOOKUP(A50,ПТО!$A$2:$D$31,2,FALSE)</f>
        <v>#N/A</v>
      </c>
      <c r="I50" s="156" t="e">
        <f>VLOOKUP(A50,ПТО!$A$2:$D$31,3,FALSE)</f>
        <v>#N/A</v>
      </c>
      <c r="J50" s="156"/>
      <c r="K50" s="109"/>
      <c r="L50" s="172"/>
      <c r="M50" s="115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55">
        <f>ПТО!A10</f>
        <v>0</v>
      </c>
      <c r="B51" s="155"/>
      <c r="C51" s="155"/>
      <c r="D51" s="155"/>
      <c r="E51" s="155"/>
      <c r="F51" s="160" t="e">
        <f>VLOOKUP(A51,ПТО!$A$2:$D$31,4,FALSE)</f>
        <v>#N/A</v>
      </c>
      <c r="G51" s="160"/>
      <c r="H51" s="25" t="e">
        <f>VLOOKUP(A51,ПТО!$A$2:$D$31,2,FALSE)</f>
        <v>#N/A</v>
      </c>
      <c r="I51" s="156" t="e">
        <f>VLOOKUP(A51,ПТО!$A$2:$D$31,3,FALSE)</f>
        <v>#N/A</v>
      </c>
      <c r="J51" s="156"/>
      <c r="K51" s="109"/>
      <c r="L51" s="172"/>
      <c r="M51" s="115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55">
        <f>ПТО!A11</f>
        <v>0</v>
      </c>
      <c r="B52" s="155"/>
      <c r="C52" s="155"/>
      <c r="D52" s="155"/>
      <c r="E52" s="155"/>
      <c r="F52" s="160" t="e">
        <f>VLOOKUP(A52,ПТО!$A$2:$D$31,4,FALSE)</f>
        <v>#N/A</v>
      </c>
      <c r="G52" s="160"/>
      <c r="H52" s="25" t="e">
        <f>VLOOKUP(A52,ПТО!$A$2:$D$31,2,FALSE)</f>
        <v>#N/A</v>
      </c>
      <c r="I52" s="156" t="e">
        <f>VLOOKUP(A52,ПТО!$A$2:$D$31,3,FALSE)</f>
        <v>#N/A</v>
      </c>
      <c r="J52" s="156"/>
      <c r="K52" s="109"/>
      <c r="L52" s="172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55">
        <f>ПТО!A12</f>
        <v>0</v>
      </c>
      <c r="B53" s="155"/>
      <c r="C53" s="155"/>
      <c r="D53" s="155"/>
      <c r="E53" s="155"/>
      <c r="F53" s="160" t="e">
        <f>VLOOKUP(A53,ПТО!$A$2:$D$31,4,FALSE)</f>
        <v>#N/A</v>
      </c>
      <c r="G53" s="160"/>
      <c r="H53" s="25" t="e">
        <f>VLOOKUP(A53,ПТО!$A$2:$D$31,2,FALSE)</f>
        <v>#N/A</v>
      </c>
      <c r="I53" s="156" t="e">
        <f>VLOOKUP(A53,ПТО!$A$2:$D$31,3,FALSE)</f>
        <v>#N/A</v>
      </c>
      <c r="J53" s="156"/>
      <c r="K53" s="109"/>
      <c r="L53" s="172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5">
        <f>ПТО!A13</f>
        <v>0</v>
      </c>
      <c r="B54" s="155"/>
      <c r="C54" s="155"/>
      <c r="D54" s="155"/>
      <c r="E54" s="155"/>
      <c r="F54" s="160" t="e">
        <f>VLOOKUP(A54,ПТО!$A$2:$D$31,4,FALSE)</f>
        <v>#N/A</v>
      </c>
      <c r="G54" s="160"/>
      <c r="H54" s="25" t="e">
        <f>VLOOKUP(A54,ПТО!$A$2:$D$31,2,FALSE)</f>
        <v>#N/A</v>
      </c>
      <c r="I54" s="156" t="e">
        <f>VLOOKUP(A54,ПТО!$A$2:$D$31,3,FALSE)</f>
        <v>#N/A</v>
      </c>
      <c r="J54" s="156"/>
      <c r="K54" s="109"/>
      <c r="L54" s="172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5">
        <f>ПТО!A14</f>
        <v>0</v>
      </c>
      <c r="B55" s="155"/>
      <c r="C55" s="155"/>
      <c r="D55" s="155"/>
      <c r="E55" s="155"/>
      <c r="F55" s="160" t="e">
        <f>VLOOKUP(A55,ПТО!$A$2:$D$31,4,FALSE)</f>
        <v>#N/A</v>
      </c>
      <c r="G55" s="160"/>
      <c r="H55" s="25" t="e">
        <f>VLOOKUP(A55,ПТО!$A$2:$D$31,2,FALSE)</f>
        <v>#N/A</v>
      </c>
      <c r="I55" s="156" t="e">
        <f>VLOOKUP(A55,ПТО!$A$2:$D$31,3,FALSE)</f>
        <v>#N/A</v>
      </c>
      <c r="J55" s="156"/>
      <c r="K55" s="109"/>
      <c r="L55" s="172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5">
        <f>ПТО!A15</f>
        <v>0</v>
      </c>
      <c r="B56" s="155"/>
      <c r="C56" s="155"/>
      <c r="D56" s="155"/>
      <c r="E56" s="155"/>
      <c r="F56" s="160" t="e">
        <f>VLOOKUP(A56,ПТО!$A$2:$D$31,4,FALSE)</f>
        <v>#N/A</v>
      </c>
      <c r="G56" s="160"/>
      <c r="H56" s="25" t="e">
        <f>VLOOKUP(A56,ПТО!$A$2:$D$31,2,FALSE)</f>
        <v>#N/A</v>
      </c>
      <c r="I56" s="156" t="e">
        <f>VLOOKUP(A56,ПТО!$A$2:$D$31,3,FALSE)</f>
        <v>#N/A</v>
      </c>
      <c r="J56" s="156"/>
      <c r="K56" s="109"/>
      <c r="L56" s="172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5">
        <f>ПТО!A16</f>
        <v>0</v>
      </c>
      <c r="B57" s="155"/>
      <c r="C57" s="155"/>
      <c r="D57" s="155"/>
      <c r="E57" s="155"/>
      <c r="F57" s="160" t="e">
        <f>VLOOKUP(A57,ПТО!$A$2:$D$31,4,FALSE)</f>
        <v>#N/A</v>
      </c>
      <c r="G57" s="160"/>
      <c r="H57" s="25" t="e">
        <f>VLOOKUP(A57,ПТО!$A$2:$D$31,2,FALSE)</f>
        <v>#N/A</v>
      </c>
      <c r="I57" s="156" t="e">
        <f>VLOOKUP(A57,ПТО!$A$2:$D$31,3,FALSE)</f>
        <v>#N/A</v>
      </c>
      <c r="J57" s="156"/>
      <c r="K57" s="109"/>
      <c r="L57" s="172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5">
        <f>ПТО!A17</f>
        <v>0</v>
      </c>
      <c r="B58" s="155"/>
      <c r="C58" s="155"/>
      <c r="D58" s="155"/>
      <c r="E58" s="155"/>
      <c r="F58" s="160" t="e">
        <f>VLOOKUP(A58,ПТО!$A$2:$D$31,4,FALSE)</f>
        <v>#N/A</v>
      </c>
      <c r="G58" s="160"/>
      <c r="H58" s="25" t="e">
        <f>VLOOKUP(A58,ПТО!$A$2:$D$31,2,FALSE)</f>
        <v>#N/A</v>
      </c>
      <c r="I58" s="156" t="e">
        <f>VLOOKUP(A58,ПТО!$A$2:$D$31,3,FALSE)</f>
        <v>#N/A</v>
      </c>
      <c r="J58" s="156"/>
      <c r="K58" s="109"/>
      <c r="L58" s="172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5">
        <f>ПТО!A18</f>
        <v>0</v>
      </c>
      <c r="B59" s="155"/>
      <c r="C59" s="155"/>
      <c r="D59" s="155"/>
      <c r="E59" s="155"/>
      <c r="F59" s="160" t="e">
        <f>VLOOKUP(A59,ПТО!$A$2:$D$31,4,FALSE)</f>
        <v>#N/A</v>
      </c>
      <c r="G59" s="160"/>
      <c r="H59" s="25" t="e">
        <f>VLOOKUP(A59,ПТО!$A$2:$D$31,2,FALSE)</f>
        <v>#N/A</v>
      </c>
      <c r="I59" s="156" t="e">
        <f>VLOOKUP(A59,ПТО!$A$2:$D$31,3,FALSE)</f>
        <v>#N/A</v>
      </c>
      <c r="J59" s="156"/>
      <c r="K59" s="109"/>
      <c r="L59" s="172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5">
        <f>ПТО!A19</f>
        <v>0</v>
      </c>
      <c r="B60" s="155"/>
      <c r="C60" s="155"/>
      <c r="D60" s="155"/>
      <c r="E60" s="155"/>
      <c r="F60" s="160" t="e">
        <f>VLOOKUP(A60,ПТО!$A$2:$D$31,4,FALSE)</f>
        <v>#N/A</v>
      </c>
      <c r="G60" s="160"/>
      <c r="H60" s="25" t="e">
        <f>VLOOKUP(A60,ПТО!$A$2:$D$31,2,FALSE)</f>
        <v>#N/A</v>
      </c>
      <c r="I60" s="156" t="e">
        <f>VLOOKUP(A60,ПТО!$A$2:$D$31,3,FALSE)</f>
        <v>#N/A</v>
      </c>
      <c r="J60" s="156"/>
      <c r="K60" s="109"/>
      <c r="L60" s="172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5">
        <f>ПТО!A20</f>
        <v>0</v>
      </c>
      <c r="B61" s="155"/>
      <c r="C61" s="155"/>
      <c r="D61" s="155"/>
      <c r="E61" s="155"/>
      <c r="F61" s="160" t="e">
        <f>VLOOKUP(A61,ПТО!$A$2:$D$31,4,FALSE)</f>
        <v>#N/A</v>
      </c>
      <c r="G61" s="160"/>
      <c r="H61" s="25" t="e">
        <f>VLOOKUP(A61,ПТО!$A$2:$D$31,2,FALSE)</f>
        <v>#N/A</v>
      </c>
      <c r="I61" s="156" t="e">
        <f>VLOOKUP(A61,ПТО!$A$2:$D$31,3,FALSE)</f>
        <v>#N/A</v>
      </c>
      <c r="J61" s="156"/>
      <c r="K61" s="109"/>
      <c r="L61" s="172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5">
        <f>ПТО!A21</f>
        <v>0</v>
      </c>
      <c r="B62" s="155"/>
      <c r="C62" s="155"/>
      <c r="D62" s="155"/>
      <c r="E62" s="155"/>
      <c r="F62" s="160" t="e">
        <f>VLOOKUP(A62,ПТО!$A$2:$D$31,4,FALSE)</f>
        <v>#N/A</v>
      </c>
      <c r="G62" s="160"/>
      <c r="H62" s="25" t="e">
        <f>VLOOKUP(A62,ПТО!$A$2:$D$31,2,FALSE)</f>
        <v>#N/A</v>
      </c>
      <c r="I62" s="156" t="e">
        <f>VLOOKUP(A62,ПТО!$A$2:$D$31,3,FALSE)</f>
        <v>#N/A</v>
      </c>
      <c r="J62" s="156"/>
      <c r="K62" s="109"/>
      <c r="L62" s="172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5">
        <f>ПТО!A22</f>
        <v>0</v>
      </c>
      <c r="B63" s="155"/>
      <c r="C63" s="155"/>
      <c r="D63" s="155"/>
      <c r="E63" s="155"/>
      <c r="F63" s="160" t="e">
        <f>VLOOKUP(A63,ПТО!$A$2:$D$31,4,FALSE)</f>
        <v>#N/A</v>
      </c>
      <c r="G63" s="160"/>
      <c r="H63" s="25" t="e">
        <f>VLOOKUP(A63,ПТО!$A$2:$D$31,2,FALSE)</f>
        <v>#N/A</v>
      </c>
      <c r="I63" s="156" t="e">
        <f>VLOOKUP(A63,ПТО!$A$2:$D$31,3,FALSE)</f>
        <v>#N/A</v>
      </c>
      <c r="J63" s="156"/>
      <c r="K63" s="109"/>
      <c r="L63" s="172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5">
        <f>ПТО!A23</f>
        <v>0</v>
      </c>
      <c r="B64" s="155"/>
      <c r="C64" s="155"/>
      <c r="D64" s="155"/>
      <c r="E64" s="155"/>
      <c r="F64" s="160" t="e">
        <f>VLOOKUP(A64,ПТО!$A$2:$D$31,4,FALSE)</f>
        <v>#N/A</v>
      </c>
      <c r="G64" s="160"/>
      <c r="H64" s="25" t="e">
        <f>VLOOKUP(A64,ПТО!$A$2:$D$31,2,FALSE)</f>
        <v>#N/A</v>
      </c>
      <c r="I64" s="156" t="e">
        <f>VLOOKUP(A64,ПТО!$A$2:$D$31,3,FALSE)</f>
        <v>#N/A</v>
      </c>
      <c r="J64" s="156"/>
      <c r="K64" s="109"/>
      <c r="L64" s="172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5">
        <f>ПТО!A24</f>
        <v>0</v>
      </c>
      <c r="B65" s="155"/>
      <c r="C65" s="155"/>
      <c r="D65" s="155"/>
      <c r="E65" s="155"/>
      <c r="F65" s="160" t="e">
        <f>VLOOKUP(A65,ПТО!$A$2:$D$31,4,FALSE)</f>
        <v>#N/A</v>
      </c>
      <c r="G65" s="160"/>
      <c r="H65" s="25" t="e">
        <f>VLOOKUP(A65,ПТО!$A$2:$D$31,2,FALSE)</f>
        <v>#N/A</v>
      </c>
      <c r="I65" s="156" t="e">
        <f>VLOOKUP(A65,ПТО!$A$2:$D$31,3,FALSE)</f>
        <v>#N/A</v>
      </c>
      <c r="J65" s="156"/>
      <c r="K65" s="109"/>
      <c r="L65" s="172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5">
        <f>ПТО!A25</f>
        <v>0</v>
      </c>
      <c r="B66" s="155"/>
      <c r="C66" s="155"/>
      <c r="D66" s="155"/>
      <c r="E66" s="155"/>
      <c r="F66" s="160" t="e">
        <f>VLOOKUP(A66,ПТО!$A$2:$D$31,4,FALSE)</f>
        <v>#N/A</v>
      </c>
      <c r="G66" s="160"/>
      <c r="H66" s="25" t="e">
        <f>VLOOKUP(A66,ПТО!$A$2:$D$31,2,FALSE)</f>
        <v>#N/A</v>
      </c>
      <c r="I66" s="156" t="e">
        <f>VLOOKUP(A66,ПТО!$A$2:$D$31,3,FALSE)</f>
        <v>#N/A</v>
      </c>
      <c r="J66" s="156"/>
      <c r="K66" s="109"/>
      <c r="L66" s="172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5">
        <f>ПТО!A26</f>
        <v>0</v>
      </c>
      <c r="B67" s="155"/>
      <c r="C67" s="155"/>
      <c r="D67" s="155"/>
      <c r="E67" s="155"/>
      <c r="F67" s="160" t="e">
        <f>VLOOKUP(A67,ПТО!$A$2:$D$31,4,FALSE)</f>
        <v>#N/A</v>
      </c>
      <c r="G67" s="160"/>
      <c r="H67" s="25" t="e">
        <f>VLOOKUP(A67,ПТО!$A$2:$D$31,2,FALSE)</f>
        <v>#N/A</v>
      </c>
      <c r="I67" s="156" t="e">
        <f>VLOOKUP(A67,ПТО!$A$2:$D$31,3,FALSE)</f>
        <v>#N/A</v>
      </c>
      <c r="J67" s="156"/>
      <c r="K67" s="109"/>
      <c r="L67" s="172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5">
        <f>ПТО!A27</f>
        <v>0</v>
      </c>
      <c r="B68" s="155"/>
      <c r="C68" s="155"/>
      <c r="D68" s="155"/>
      <c r="E68" s="155"/>
      <c r="F68" s="160" t="e">
        <f>VLOOKUP(A68,ПТО!$A$2:$D$31,4,FALSE)</f>
        <v>#N/A</v>
      </c>
      <c r="G68" s="160"/>
      <c r="H68" s="25" t="e">
        <f>VLOOKUP(A68,ПТО!$A$2:$D$31,2,FALSE)</f>
        <v>#N/A</v>
      </c>
      <c r="I68" s="156" t="e">
        <f>VLOOKUP(A68,ПТО!$A$2:$D$31,3,FALSE)</f>
        <v>#N/A</v>
      </c>
      <c r="J68" s="156"/>
      <c r="K68" s="109"/>
      <c r="L68" s="172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5">
        <f>ПТО!A28</f>
        <v>0</v>
      </c>
      <c r="B69" s="155"/>
      <c r="C69" s="155"/>
      <c r="D69" s="155"/>
      <c r="E69" s="155"/>
      <c r="F69" s="160" t="e">
        <f>VLOOKUP(A69,ПТО!$A$2:$D$31,4,FALSE)</f>
        <v>#N/A</v>
      </c>
      <c r="G69" s="160"/>
      <c r="H69" s="25" t="e">
        <f>VLOOKUP(A69,ПТО!$A$2:$D$31,2,FALSE)</f>
        <v>#N/A</v>
      </c>
      <c r="I69" s="156" t="e">
        <f>VLOOKUP(A69,ПТО!$A$2:$D$31,3,FALSE)</f>
        <v>#N/A</v>
      </c>
      <c r="J69" s="156"/>
      <c r="K69" s="109"/>
      <c r="L69" s="172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5">
        <f>ПТО!A29</f>
        <v>0</v>
      </c>
      <c r="B70" s="155"/>
      <c r="C70" s="155"/>
      <c r="D70" s="155"/>
      <c r="E70" s="155"/>
      <c r="F70" s="160" t="e">
        <f>VLOOKUP(A70,ПТО!$A$2:$D$31,4,FALSE)</f>
        <v>#N/A</v>
      </c>
      <c r="G70" s="160"/>
      <c r="H70" s="25" t="e">
        <f>VLOOKUP(A70,ПТО!$A$2:$D$31,2,FALSE)</f>
        <v>#N/A</v>
      </c>
      <c r="I70" s="156" t="e">
        <f>VLOOKUP(A70,ПТО!$A$2:$D$31,3,FALSE)</f>
        <v>#N/A</v>
      </c>
      <c r="J70" s="156"/>
      <c r="K70" s="109"/>
      <c r="L70" s="172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5">
        <f>ПТО!A30</f>
        <v>0</v>
      </c>
      <c r="B71" s="155"/>
      <c r="C71" s="155"/>
      <c r="D71" s="155"/>
      <c r="E71" s="155"/>
      <c r="F71" s="160" t="e">
        <f>VLOOKUP(A71,ПТО!$A$2:$D$31,4,FALSE)</f>
        <v>#N/A</v>
      </c>
      <c r="G71" s="160"/>
      <c r="H71" s="25" t="e">
        <f>VLOOKUP(A71,ПТО!$A$2:$D$31,2,FALSE)</f>
        <v>#N/A</v>
      </c>
      <c r="I71" s="156" t="e">
        <f>VLOOKUP(A71,ПТО!$A$2:$D$31,3,FALSE)</f>
        <v>#N/A</v>
      </c>
      <c r="J71" s="156"/>
      <c r="K71" s="115"/>
      <c r="L71" s="172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5">
        <f>ПТО!A31</f>
        <v>0</v>
      </c>
      <c r="B72" s="155"/>
      <c r="C72" s="155"/>
      <c r="D72" s="155"/>
      <c r="E72" s="155"/>
      <c r="F72" s="160" t="e">
        <f>VLOOKUP(A72,ПТО!$A$2:$D$31,4,FALSE)</f>
        <v>#N/A</v>
      </c>
      <c r="G72" s="160"/>
      <c r="H72" s="25" t="e">
        <f>VLOOKUP(A72,ПТО!$A$2:$D$31,2,FALSE)</f>
        <v>#N/A</v>
      </c>
      <c r="I72" s="156" t="e">
        <f>VLOOKUP(A72,ПТО!$A$2:$D$31,3,FALSE)</f>
        <v>#N/A</v>
      </c>
      <c r="J72" s="156"/>
      <c r="K72" s="109"/>
      <c r="L72" s="172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73" t="s">
        <v>26</v>
      </c>
      <c r="B75" s="173"/>
      <c r="C75" s="173"/>
      <c r="D75" s="173"/>
      <c r="E75" s="173"/>
      <c r="F75" s="173"/>
      <c r="G75" s="173"/>
      <c r="H75" s="173"/>
      <c r="I75" s="173"/>
      <c r="J75" s="8">
        <f>VLOOKUP(O75,АО,3,FALSE)</f>
        <v>0</v>
      </c>
      <c r="K75" s="109"/>
      <c r="L75" s="175"/>
      <c r="M75" s="109"/>
      <c r="N75" s="109"/>
      <c r="O75" s="70" t="s">
        <v>99</v>
      </c>
    </row>
    <row r="76" spans="1:16384" ht="18.75" customHeight="1" outlineLevel="1">
      <c r="A76" s="173" t="s">
        <v>27</v>
      </c>
      <c r="B76" s="173"/>
      <c r="C76" s="173"/>
      <c r="D76" s="173"/>
      <c r="E76" s="173"/>
      <c r="F76" s="173"/>
      <c r="G76" s="173"/>
      <c r="H76" s="173"/>
      <c r="I76" s="173"/>
      <c r="J76" s="8">
        <f>VLOOKUP(O76,АО,3,FALSE)</f>
        <v>0</v>
      </c>
      <c r="K76" s="109"/>
      <c r="L76" s="175"/>
      <c r="M76" s="109"/>
      <c r="N76" s="109"/>
      <c r="O76" s="70" t="s">
        <v>100</v>
      </c>
    </row>
    <row r="77" spans="1:16384" ht="21.75" customHeight="1" outlineLevel="1">
      <c r="A77" s="173" t="s">
        <v>28</v>
      </c>
      <c r="B77" s="173"/>
      <c r="C77" s="173"/>
      <c r="D77" s="173"/>
      <c r="E77" s="173"/>
      <c r="F77" s="173"/>
      <c r="G77" s="173"/>
      <c r="H77" s="173"/>
      <c r="I77" s="173"/>
      <c r="J77" s="8">
        <f>VLOOKUP(O77,АО,3,FALSE)</f>
        <v>0</v>
      </c>
      <c r="K77" s="109"/>
      <c r="L77" s="175"/>
      <c r="M77" s="109"/>
      <c r="N77" s="109"/>
      <c r="O77" s="70" t="s">
        <v>101</v>
      </c>
    </row>
    <row r="78" spans="1:16384" ht="18.75" customHeight="1" outlineLevel="1">
      <c r="A78" s="173" t="s">
        <v>29</v>
      </c>
      <c r="B78" s="173"/>
      <c r="C78" s="173"/>
      <c r="D78" s="173"/>
      <c r="E78" s="173"/>
      <c r="F78" s="173"/>
      <c r="G78" s="173"/>
      <c r="H78" s="173"/>
      <c r="I78" s="173"/>
      <c r="J78" s="97">
        <f>VLOOKUP(O78,АО,3,FALSE)</f>
        <v>0</v>
      </c>
      <c r="K78" s="109"/>
      <c r="L78" s="175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3" t="s">
        <v>1</v>
      </c>
      <c r="B81" s="153"/>
      <c r="C81" s="153"/>
      <c r="D81" s="153"/>
      <c r="E81" s="153"/>
      <c r="F81" s="153"/>
      <c r="G81" s="153"/>
      <c r="H81" s="153"/>
      <c r="I81" s="153"/>
      <c r="J81" s="97">
        <f t="shared" ref="J81:J90" si="2">VLOOKUP(O81,АО,3,FALSE)</f>
        <v>0</v>
      </c>
      <c r="K81" s="109"/>
      <c r="L81" s="161"/>
      <c r="M81" s="109"/>
      <c r="N81" s="109"/>
      <c r="O81" s="70" t="s">
        <v>103</v>
      </c>
    </row>
    <row r="82" spans="1:15" outlineLevel="1">
      <c r="A82" s="153" t="s">
        <v>2</v>
      </c>
      <c r="B82" s="153"/>
      <c r="C82" s="153"/>
      <c r="D82" s="153"/>
      <c r="E82" s="153"/>
      <c r="F82" s="153"/>
      <c r="G82" s="153"/>
      <c r="H82" s="153"/>
      <c r="I82" s="153"/>
      <c r="J82" s="97">
        <f t="shared" si="2"/>
        <v>0</v>
      </c>
      <c r="K82" s="109"/>
      <c r="L82" s="161"/>
      <c r="M82" s="109"/>
      <c r="N82" s="109"/>
      <c r="O82" s="70" t="s">
        <v>104</v>
      </c>
    </row>
    <row r="83" spans="1:15" outlineLevel="1">
      <c r="A83" s="167" t="s">
        <v>3</v>
      </c>
      <c r="B83" s="168"/>
      <c r="C83" s="168"/>
      <c r="D83" s="168"/>
      <c r="E83" s="168"/>
      <c r="F83" s="168"/>
      <c r="G83" s="168"/>
      <c r="H83" s="168"/>
      <c r="I83" s="169"/>
      <c r="J83" s="97">
        <f t="shared" si="2"/>
        <v>34648.85</v>
      </c>
      <c r="K83" s="109"/>
      <c r="L83" s="161"/>
      <c r="M83" s="109"/>
      <c r="N83" s="109"/>
      <c r="O83" s="70" t="s">
        <v>105</v>
      </c>
    </row>
    <row r="84" spans="1:15" outlineLevel="1">
      <c r="A84" s="167" t="s">
        <v>15</v>
      </c>
      <c r="B84" s="168"/>
      <c r="C84" s="168"/>
      <c r="D84" s="168"/>
      <c r="E84" s="168"/>
      <c r="F84" s="168"/>
      <c r="G84" s="168"/>
      <c r="H84" s="168"/>
      <c r="I84" s="169"/>
      <c r="J84" s="97">
        <f t="shared" si="2"/>
        <v>0</v>
      </c>
      <c r="K84" s="109"/>
      <c r="L84" s="161"/>
      <c r="M84" s="109"/>
      <c r="N84" s="109"/>
      <c r="O84" s="70" t="s">
        <v>106</v>
      </c>
    </row>
    <row r="85" spans="1:15" outlineLevel="1">
      <c r="A85" s="167" t="s">
        <v>16</v>
      </c>
      <c r="B85" s="168"/>
      <c r="C85" s="168"/>
      <c r="D85" s="168"/>
      <c r="E85" s="168"/>
      <c r="F85" s="168"/>
      <c r="G85" s="168"/>
      <c r="H85" s="168"/>
      <c r="I85" s="169"/>
      <c r="J85" s="97">
        <f t="shared" si="2"/>
        <v>0</v>
      </c>
      <c r="K85" s="109"/>
      <c r="L85" s="161"/>
      <c r="M85" s="109"/>
      <c r="N85" s="109"/>
      <c r="O85" s="70" t="s">
        <v>107</v>
      </c>
    </row>
    <row r="86" spans="1:15" outlineLevel="1">
      <c r="A86" s="167" t="s">
        <v>17</v>
      </c>
      <c r="B86" s="168"/>
      <c r="C86" s="168"/>
      <c r="D86" s="168"/>
      <c r="E86" s="168"/>
      <c r="F86" s="168"/>
      <c r="G86" s="168"/>
      <c r="H86" s="168"/>
      <c r="I86" s="169"/>
      <c r="J86" s="97">
        <f t="shared" si="2"/>
        <v>62278.48</v>
      </c>
      <c r="K86" s="109"/>
      <c r="L86" s="161"/>
      <c r="M86" s="109"/>
      <c r="N86" s="109"/>
      <c r="O86" s="70" t="s">
        <v>108</v>
      </c>
    </row>
    <row r="87" spans="1:15" ht="18.75" customHeight="1" outlineLevel="1">
      <c r="A87" s="167" t="s">
        <v>26</v>
      </c>
      <c r="B87" s="168"/>
      <c r="C87" s="168"/>
      <c r="D87" s="168"/>
      <c r="E87" s="168"/>
      <c r="F87" s="168"/>
      <c r="G87" s="168"/>
      <c r="H87" s="168"/>
      <c r="I87" s="169"/>
      <c r="J87" s="8">
        <f t="shared" si="2"/>
        <v>0</v>
      </c>
      <c r="K87" s="109"/>
      <c r="L87" s="161"/>
      <c r="M87" s="109"/>
      <c r="N87" s="109"/>
      <c r="O87" s="70" t="s">
        <v>109</v>
      </c>
    </row>
    <row r="88" spans="1:15" ht="18.75" customHeight="1" outlineLevel="1">
      <c r="A88" s="167" t="s">
        <v>27</v>
      </c>
      <c r="B88" s="168"/>
      <c r="C88" s="168"/>
      <c r="D88" s="168"/>
      <c r="E88" s="168"/>
      <c r="F88" s="168"/>
      <c r="G88" s="168"/>
      <c r="H88" s="168"/>
      <c r="I88" s="169"/>
      <c r="J88" s="8">
        <f t="shared" si="2"/>
        <v>0</v>
      </c>
      <c r="K88" s="109"/>
      <c r="L88" s="161"/>
      <c r="M88" s="109"/>
      <c r="N88" s="109"/>
      <c r="O88" s="70" t="s">
        <v>110</v>
      </c>
    </row>
    <row r="89" spans="1:15" ht="18.75" customHeight="1" outlineLevel="1">
      <c r="A89" s="167" t="s">
        <v>28</v>
      </c>
      <c r="B89" s="168"/>
      <c r="C89" s="168"/>
      <c r="D89" s="168"/>
      <c r="E89" s="168"/>
      <c r="F89" s="168"/>
      <c r="G89" s="168"/>
      <c r="H89" s="168"/>
      <c r="I89" s="169"/>
      <c r="J89" s="8">
        <f t="shared" si="2"/>
        <v>0</v>
      </c>
      <c r="K89" s="109"/>
      <c r="L89" s="161"/>
      <c r="M89" s="109"/>
      <c r="N89" s="109"/>
      <c r="O89" s="70" t="s">
        <v>111</v>
      </c>
    </row>
    <row r="90" spans="1:15" ht="18.75" customHeight="1" outlineLevel="1">
      <c r="A90" s="167" t="s">
        <v>29</v>
      </c>
      <c r="B90" s="168"/>
      <c r="C90" s="168"/>
      <c r="D90" s="168"/>
      <c r="E90" s="168"/>
      <c r="F90" s="168"/>
      <c r="G90" s="168"/>
      <c r="H90" s="168"/>
      <c r="I90" s="169"/>
      <c r="J90" s="97">
        <f t="shared" si="2"/>
        <v>0</v>
      </c>
      <c r="K90" s="109"/>
      <c r="L90" s="161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76" t="s">
        <v>47</v>
      </c>
      <c r="B93" s="176"/>
      <c r="C93" s="176"/>
      <c r="D93" s="177" t="s">
        <v>48</v>
      </c>
      <c r="E93" s="177"/>
      <c r="F93" s="10" t="s">
        <v>49</v>
      </c>
      <c r="G93" s="176" t="s">
        <v>50</v>
      </c>
      <c r="H93" s="176"/>
      <c r="I93" s="176"/>
      <c r="J93" s="176"/>
      <c r="K93" s="109"/>
      <c r="L93" s="109"/>
      <c r="M93" s="109"/>
      <c r="N93" s="109"/>
    </row>
    <row r="94" spans="1:15" outlineLevel="1">
      <c r="A94" s="157" t="str">
        <f>IF(VLOOKUP("эл",АО,3,FALSE)&gt;0,"Электроснабжение",0)</f>
        <v>Электроснабжение</v>
      </c>
      <c r="B94" s="157"/>
      <c r="C94" s="157"/>
      <c r="D94" s="158" t="str">
        <f>IF(VLOOKUP("эл",АО,3,FALSE)&gt;0,VLOOKUP("эл",АО,3,FALSE),0)</f>
        <v>Предоставляется</v>
      </c>
      <c r="E94" s="158"/>
      <c r="F94" s="13" t="str">
        <f>IF(VLOOKUP("эл",АО,3,FALSE)&gt;0,VLOOKUP("эл",АО,4,FALSE),0)</f>
        <v>кВт*ч</v>
      </c>
      <c r="G94" s="159">
        <f>VLOOKUP("эл",АО,5,FALSE)</f>
        <v>125877.56</v>
      </c>
      <c r="H94" s="158"/>
      <c r="I94" s="158"/>
      <c r="J94" s="158"/>
      <c r="K94" s="1" t="str">
        <f>VLOOKUP("эл",АО,2,FALSE)</f>
        <v>Электроснабжение</v>
      </c>
      <c r="L94" s="162"/>
    </row>
    <row r="95" spans="1:15" outlineLevel="2">
      <c r="A95" s="174" t="str">
        <f>IF(VLOOKUP("эл",АО,3,FALSE)&gt;0,VLOOKUP("эл1",АО,2,FALSE),0)</f>
        <v>Общий объем потребления, нат. показ.</v>
      </c>
      <c r="B95" s="174"/>
      <c r="C95" s="174"/>
      <c r="D95" s="174"/>
      <c r="E95" s="174"/>
      <c r="F95" s="174"/>
      <c r="G95" s="174"/>
      <c r="H95" s="174"/>
      <c r="I95" s="174"/>
      <c r="J95" s="18">
        <f t="shared" ref="J95:J101" si="3">VLOOKUP(O95,АО,3,FALSE)</f>
        <v>104897.97</v>
      </c>
      <c r="L95" s="162"/>
      <c r="O95" s="1" t="s">
        <v>113</v>
      </c>
    </row>
    <row r="96" spans="1:15" outlineLevel="2">
      <c r="A96" s="174" t="str">
        <f>IF(VLOOKUP("эл",АО,3,FALSE)&gt;0,VLOOKUP("эл2",АО,2,FALSE),0)</f>
        <v>Оплачено потребителями, руб.</v>
      </c>
      <c r="B96" s="174"/>
      <c r="C96" s="174"/>
      <c r="D96" s="174"/>
      <c r="E96" s="174"/>
      <c r="F96" s="174"/>
      <c r="G96" s="174"/>
      <c r="H96" s="174"/>
      <c r="I96" s="174"/>
      <c r="J96" s="18">
        <f t="shared" si="3"/>
        <v>119672.49</v>
      </c>
      <c r="L96" s="162"/>
      <c r="O96" s="1" t="s">
        <v>114</v>
      </c>
    </row>
    <row r="97" spans="1:15" outlineLevel="2">
      <c r="A97" s="174" t="str">
        <f>IF(VLOOKUP("эл",АО,3,FALSE)&gt;0,VLOOKUP("эл3",АО,2,FALSE),0)</f>
        <v>Задолженность потребителей, руб.</v>
      </c>
      <c r="B97" s="174"/>
      <c r="C97" s="174"/>
      <c r="D97" s="174"/>
      <c r="E97" s="174"/>
      <c r="F97" s="174"/>
      <c r="G97" s="174"/>
      <c r="H97" s="174"/>
      <c r="I97" s="174"/>
      <c r="J97" s="18">
        <f t="shared" si="3"/>
        <v>6205.0699999999924</v>
      </c>
      <c r="L97" s="162"/>
      <c r="O97" s="1" t="s">
        <v>115</v>
      </c>
    </row>
    <row r="98" spans="1:15" ht="37.5" customHeight="1" outlineLevel="2">
      <c r="A98" s="174" t="str">
        <f>IF(VLOOKUP("эл",АО,3,FALSE)&gt;0,VLOOKUP("эл4",АО,2,FALSE),0)</f>
        <v>Начислено поставщиком (поставщиками) коммунального ресурса, руб.</v>
      </c>
      <c r="B98" s="174"/>
      <c r="C98" s="174"/>
      <c r="D98" s="174"/>
      <c r="E98" s="174"/>
      <c r="F98" s="174"/>
      <c r="G98" s="174"/>
      <c r="H98" s="174"/>
      <c r="I98" s="174"/>
      <c r="J98" s="18">
        <f t="shared" si="3"/>
        <v>125877.56</v>
      </c>
      <c r="L98" s="162"/>
      <c r="O98" s="1" t="s">
        <v>116</v>
      </c>
    </row>
    <row r="99" spans="1:15" outlineLevel="2">
      <c r="A99" s="174" t="str">
        <f>IF(VLOOKUP("эл",АО,3,FALSE)&gt;0,VLOOKUP("эл5",АО,2,FALSE),0)</f>
        <v>Оплачено поставщику (поставщикам) коммунального ресурса, руб.</v>
      </c>
      <c r="B99" s="174"/>
      <c r="C99" s="174"/>
      <c r="D99" s="174"/>
      <c r="E99" s="174"/>
      <c r="F99" s="174"/>
      <c r="G99" s="174"/>
      <c r="H99" s="174"/>
      <c r="I99" s="174"/>
      <c r="J99" s="18">
        <f t="shared" si="3"/>
        <v>125877.56</v>
      </c>
      <c r="L99" s="162"/>
      <c r="O99" s="1" t="s">
        <v>117</v>
      </c>
    </row>
    <row r="100" spans="1:15" ht="39" customHeight="1" outlineLevel="2">
      <c r="A100" s="17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4"/>
      <c r="C100" s="174"/>
      <c r="D100" s="174"/>
      <c r="E100" s="174"/>
      <c r="F100" s="174"/>
      <c r="G100" s="174"/>
      <c r="H100" s="174"/>
      <c r="I100" s="174"/>
      <c r="J100" s="18">
        <f t="shared" si="3"/>
        <v>0</v>
      </c>
      <c r="L100" s="162"/>
      <c r="O100" s="1" t="s">
        <v>118</v>
      </c>
    </row>
    <row r="101" spans="1:15" ht="34.5" customHeight="1" outlineLevel="2">
      <c r="A101" s="17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4"/>
      <c r="C101" s="174"/>
      <c r="D101" s="174"/>
      <c r="E101" s="174"/>
      <c r="F101" s="174"/>
      <c r="G101" s="174"/>
      <c r="H101" s="174"/>
      <c r="I101" s="174"/>
      <c r="J101" s="18">
        <f t="shared" si="3"/>
        <v>0</v>
      </c>
      <c r="L101" s="162"/>
      <c r="O101" s="1" t="s">
        <v>119</v>
      </c>
    </row>
    <row r="102" spans="1:15" ht="28.5" customHeight="1" outlineLevel="1">
      <c r="A102" s="157" t="str">
        <f>IF(VLOOKUP("хвс",АО,3,FALSE)&gt;0,"Холодное водоснабжение",0)</f>
        <v>Холодное водоснабжение</v>
      </c>
      <c r="B102" s="157"/>
      <c r="C102" s="157"/>
      <c r="D102" s="158" t="str">
        <f>IF(VLOOKUP("хвс",АО,3,FALSE)&gt;0,VLOOKUP("хвс",АО,3,FALSE),0)</f>
        <v>Предоставляется</v>
      </c>
      <c r="E102" s="158"/>
      <c r="F102" s="13" t="str">
        <f>IF(VLOOKUP("хвс",АО,3,FALSE)&gt;0,VLOOKUP("хвс",АО,4,FALSE),0)</f>
        <v>куб.м.</v>
      </c>
      <c r="G102" s="159">
        <f>VLOOKUP("хвс",АО,5,FALSE)</f>
        <v>55870.59</v>
      </c>
      <c r="H102" s="158"/>
      <c r="I102" s="158"/>
      <c r="J102" s="158"/>
      <c r="L102" s="162"/>
    </row>
    <row r="103" spans="1:15" outlineLevel="2">
      <c r="A103" s="174" t="str">
        <f t="shared" ref="A103:A109" si="4">IF(VLOOKUP("хвс",АО,3,FALSE)&gt;0,VLOOKUP(O103,АО,2,FALSE),0)</f>
        <v>Общий объем потребления, нат. показ.</v>
      </c>
      <c r="B103" s="174"/>
      <c r="C103" s="174"/>
      <c r="D103" s="174"/>
      <c r="E103" s="174"/>
      <c r="F103" s="174"/>
      <c r="G103" s="174"/>
      <c r="H103" s="174"/>
      <c r="I103" s="174"/>
      <c r="J103" s="18">
        <f t="shared" ref="J103:J109" si="5">VLOOKUP(O103,АО,3,FALSE)</f>
        <v>4232.62</v>
      </c>
      <c r="L103" s="162"/>
      <c r="O103" s="1" t="s">
        <v>122</v>
      </c>
    </row>
    <row r="104" spans="1:15" ht="18.75" customHeight="1" outlineLevel="2">
      <c r="A104" s="174" t="str">
        <f t="shared" si="4"/>
        <v>Оплачено потребителями, руб.</v>
      </c>
      <c r="B104" s="174"/>
      <c r="C104" s="174"/>
      <c r="D104" s="174"/>
      <c r="E104" s="174"/>
      <c r="F104" s="174"/>
      <c r="G104" s="174"/>
      <c r="H104" s="174"/>
      <c r="I104" s="174"/>
      <c r="J104" s="18">
        <f t="shared" si="5"/>
        <v>49837.11</v>
      </c>
      <c r="L104" s="162"/>
      <c r="O104" s="1" t="s">
        <v>123</v>
      </c>
    </row>
    <row r="105" spans="1:15" ht="18.75" customHeight="1" outlineLevel="2">
      <c r="A105" s="174" t="str">
        <f t="shared" si="4"/>
        <v>Задолженность потребителей, руб.</v>
      </c>
      <c r="B105" s="174"/>
      <c r="C105" s="174"/>
      <c r="D105" s="174"/>
      <c r="E105" s="174"/>
      <c r="F105" s="174"/>
      <c r="G105" s="174"/>
      <c r="H105" s="174"/>
      <c r="I105" s="174"/>
      <c r="J105" s="18">
        <f t="shared" si="5"/>
        <v>6033.4799999999959</v>
      </c>
      <c r="L105" s="162"/>
      <c r="O105" s="1" t="s">
        <v>124</v>
      </c>
    </row>
    <row r="106" spans="1:15" ht="36.75" customHeight="1" outlineLevel="2">
      <c r="A106" s="174" t="str">
        <f t="shared" si="4"/>
        <v>Начислено поставщиком (поставщиками) коммунального ресурса, руб.</v>
      </c>
      <c r="B106" s="174"/>
      <c r="C106" s="174"/>
      <c r="D106" s="174"/>
      <c r="E106" s="174"/>
      <c r="F106" s="174"/>
      <c r="G106" s="174"/>
      <c r="H106" s="174"/>
      <c r="I106" s="174"/>
      <c r="J106" s="18">
        <f t="shared" si="5"/>
        <v>55870.59</v>
      </c>
      <c r="L106" s="162"/>
      <c r="O106" s="1" t="s">
        <v>125</v>
      </c>
    </row>
    <row r="107" spans="1:15" ht="18.75" customHeight="1" outlineLevel="2">
      <c r="A107" s="174" t="str">
        <f t="shared" si="4"/>
        <v>Оплачено поставщику (поставщикам) коммунального ресурса, руб.</v>
      </c>
      <c r="B107" s="174"/>
      <c r="C107" s="174"/>
      <c r="D107" s="174"/>
      <c r="E107" s="174"/>
      <c r="F107" s="174"/>
      <c r="G107" s="174"/>
      <c r="H107" s="174"/>
      <c r="I107" s="174"/>
      <c r="J107" s="18">
        <f t="shared" si="5"/>
        <v>55870.59</v>
      </c>
      <c r="L107" s="162"/>
      <c r="O107" s="1" t="s">
        <v>126</v>
      </c>
    </row>
    <row r="108" spans="1:15" ht="37.5" customHeight="1" outlineLevel="2">
      <c r="A108" s="174" t="str">
        <f t="shared" si="4"/>
        <v>Задолженность перед поставщиком (поставщиками) коммунального ресурса, руб.</v>
      </c>
      <c r="B108" s="174"/>
      <c r="C108" s="174"/>
      <c r="D108" s="174"/>
      <c r="E108" s="174"/>
      <c r="F108" s="174"/>
      <c r="G108" s="174"/>
      <c r="H108" s="174"/>
      <c r="I108" s="174"/>
      <c r="J108" s="18">
        <f t="shared" si="5"/>
        <v>0</v>
      </c>
      <c r="L108" s="162"/>
      <c r="O108" s="1" t="s">
        <v>127</v>
      </c>
    </row>
    <row r="109" spans="1:15" ht="39.75" customHeight="1" outlineLevel="2">
      <c r="A109" s="174" t="str">
        <f t="shared" si="4"/>
        <v>Размер пени и штрафов, уплаченных поставщику (поставщикам) коммунального ресурса, руб.</v>
      </c>
      <c r="B109" s="174"/>
      <c r="C109" s="174"/>
      <c r="D109" s="174"/>
      <c r="E109" s="174"/>
      <c r="F109" s="174"/>
      <c r="G109" s="174"/>
      <c r="H109" s="174"/>
      <c r="I109" s="174"/>
      <c r="J109" s="18">
        <f t="shared" si="5"/>
        <v>0</v>
      </c>
      <c r="L109" s="162"/>
      <c r="O109" s="1" t="s">
        <v>128</v>
      </c>
    </row>
    <row r="110" spans="1:15" ht="27" customHeight="1" outlineLevel="1">
      <c r="A110" s="157" t="str">
        <f>IF(VLOOKUP("воо",АО,3,FALSE)&gt;0,"Водоотведение",0)</f>
        <v>Водоотведение</v>
      </c>
      <c r="B110" s="157"/>
      <c r="C110" s="157"/>
      <c r="D110" s="158" t="str">
        <f>IF(VLOOKUP("воо",АО,3,FALSE)&gt;0,VLOOKUP("воо",АО,3,FALSE),0)</f>
        <v>Предоставляется</v>
      </c>
      <c r="E110" s="158"/>
      <c r="F110" s="13" t="str">
        <f>IF(VLOOKUP("воо",АО,3,FALSE)&gt;0,VLOOKUP("воо",АО,4,FALSE),0)</f>
        <v>куб.м.</v>
      </c>
      <c r="G110" s="159">
        <f>VLOOKUP("воо",АО,5,FALSE)</f>
        <v>108814.26</v>
      </c>
      <c r="H110" s="158"/>
      <c r="I110" s="158"/>
      <c r="J110" s="158"/>
      <c r="L110" s="162"/>
    </row>
    <row r="111" spans="1:15" outlineLevel="2">
      <c r="A111" s="153" t="str">
        <f t="shared" ref="A111:A117" si="6">IF(VLOOKUP("воо",АО,3,FALSE)&gt;0,VLOOKUP(O111,АО,2,FALSE),0)</f>
        <v>Общий объем потребления, нат. показ.</v>
      </c>
      <c r="B111" s="153"/>
      <c r="C111" s="153"/>
      <c r="D111" s="153"/>
      <c r="E111" s="153"/>
      <c r="F111" s="153"/>
      <c r="G111" s="153"/>
      <c r="H111" s="153"/>
      <c r="I111" s="153"/>
      <c r="J111" s="18">
        <f t="shared" ref="J111:J117" si="7">VLOOKUP(O111,АО,3,FALSE)</f>
        <v>6783.93</v>
      </c>
      <c r="L111" s="162"/>
      <c r="O111" s="1" t="s">
        <v>130</v>
      </c>
    </row>
    <row r="112" spans="1:15" ht="18.75" customHeight="1" outlineLevel="2">
      <c r="A112" s="153" t="str">
        <f t="shared" si="6"/>
        <v>Оплачено потребителями, руб.</v>
      </c>
      <c r="B112" s="153"/>
      <c r="C112" s="153"/>
      <c r="D112" s="153"/>
      <c r="E112" s="153"/>
      <c r="F112" s="153"/>
      <c r="G112" s="153"/>
      <c r="H112" s="153"/>
      <c r="I112" s="153"/>
      <c r="J112" s="18">
        <f t="shared" si="7"/>
        <v>96475.5</v>
      </c>
      <c r="L112" s="162"/>
      <c r="O112" s="1" t="s">
        <v>131</v>
      </c>
    </row>
    <row r="113" spans="1:15" ht="19.5" customHeight="1" outlineLevel="2">
      <c r="A113" s="153" t="str">
        <f t="shared" si="6"/>
        <v>Задолженность потребителей, руб.</v>
      </c>
      <c r="B113" s="153"/>
      <c r="C113" s="153"/>
      <c r="D113" s="153"/>
      <c r="E113" s="153"/>
      <c r="F113" s="153"/>
      <c r="G113" s="153"/>
      <c r="H113" s="153"/>
      <c r="I113" s="153"/>
      <c r="J113" s="18">
        <f t="shared" si="7"/>
        <v>12338.759999999995</v>
      </c>
      <c r="L113" s="162"/>
      <c r="O113" s="1" t="s">
        <v>132</v>
      </c>
    </row>
    <row r="114" spans="1:15" ht="33" customHeight="1" outlineLevel="2">
      <c r="A114" s="153" t="str">
        <f t="shared" si="6"/>
        <v>Начислено поставщиком (поставщиками) коммунального ресурса, руб.</v>
      </c>
      <c r="B114" s="153"/>
      <c r="C114" s="153"/>
      <c r="D114" s="153"/>
      <c r="E114" s="153"/>
      <c r="F114" s="153"/>
      <c r="G114" s="153"/>
      <c r="H114" s="153"/>
      <c r="I114" s="153"/>
      <c r="J114" s="18">
        <f t="shared" si="7"/>
        <v>108814.26</v>
      </c>
      <c r="L114" s="162"/>
      <c r="O114" s="1" t="s">
        <v>133</v>
      </c>
    </row>
    <row r="115" spans="1:15" ht="18.75" customHeight="1" outlineLevel="2">
      <c r="A115" s="153" t="str">
        <f t="shared" si="6"/>
        <v>Оплачено поставщику (поставщикам) коммунального ресурса, руб.</v>
      </c>
      <c r="B115" s="153"/>
      <c r="C115" s="153"/>
      <c r="D115" s="153"/>
      <c r="E115" s="153"/>
      <c r="F115" s="153"/>
      <c r="G115" s="153"/>
      <c r="H115" s="153"/>
      <c r="I115" s="153"/>
      <c r="J115" s="18">
        <f t="shared" si="7"/>
        <v>108814.26</v>
      </c>
      <c r="L115" s="162"/>
      <c r="O115" s="1" t="s">
        <v>134</v>
      </c>
    </row>
    <row r="116" spans="1:15" ht="33.75" customHeight="1" outlineLevel="2">
      <c r="A116" s="153" t="str">
        <f t="shared" si="6"/>
        <v>Задолженность перед поставщиком (поставщиками) коммунального ресурса, руб.</v>
      </c>
      <c r="B116" s="153"/>
      <c r="C116" s="153"/>
      <c r="D116" s="153"/>
      <c r="E116" s="153"/>
      <c r="F116" s="153"/>
      <c r="G116" s="153"/>
      <c r="H116" s="153"/>
      <c r="I116" s="153"/>
      <c r="J116" s="18">
        <f t="shared" si="7"/>
        <v>0</v>
      </c>
      <c r="L116" s="162"/>
      <c r="O116" s="1" t="s">
        <v>135</v>
      </c>
    </row>
    <row r="117" spans="1:15" ht="32.25" customHeight="1" outlineLevel="2">
      <c r="A117" s="153" t="str">
        <f t="shared" si="6"/>
        <v>Размер пени и штрафов, уплаченных поставщику (поставщикам) коммунального ресурса, руб.</v>
      </c>
      <c r="B117" s="153"/>
      <c r="C117" s="153"/>
      <c r="D117" s="153"/>
      <c r="E117" s="153"/>
      <c r="F117" s="153"/>
      <c r="G117" s="153"/>
      <c r="H117" s="153"/>
      <c r="I117" s="153"/>
      <c r="J117" s="18">
        <f t="shared" si="7"/>
        <v>0</v>
      </c>
      <c r="L117" s="162"/>
      <c r="O117" s="1" t="s">
        <v>136</v>
      </c>
    </row>
    <row r="118" spans="1:15" ht="32.25" customHeight="1" outlineLevel="1">
      <c r="A118" s="157" t="str">
        <f>IF(VLOOKUP("тко",АО,3,FALSE)&gt;0,"Обращение с ТКО",0)</f>
        <v>Обращение с ТКО</v>
      </c>
      <c r="B118" s="157"/>
      <c r="C118" s="157"/>
      <c r="D118" s="158" t="str">
        <f>IF(VLOOKUP("тко",АО,3,FALSE)&gt;0,VLOOKUP("тко",АО,3,FALSE),0)</f>
        <v>Предоставляется</v>
      </c>
      <c r="E118" s="158"/>
      <c r="F118" s="13" t="str">
        <f>IF(VLOOKUP("тко",АО,3,FALSE)&gt;0,VLOOKUP("тко",АО,4,FALSE),0)</f>
        <v>куб.м.</v>
      </c>
      <c r="G118" s="159">
        <f>VLOOKUP("тко",АО,5,FALSE)</f>
        <v>103314.15</v>
      </c>
      <c r="H118" s="158"/>
      <c r="I118" s="158"/>
      <c r="J118" s="158"/>
      <c r="L118" s="47"/>
    </row>
    <row r="119" spans="1:15" ht="32.25" customHeight="1" outlineLevel="2">
      <c r="A119" s="153" t="str">
        <f t="shared" ref="A119:A125" si="8">IF(VLOOKUP("тко",АО,3,FALSE)&gt;0,VLOOKUP(O119,АО,2,FALSE),0)</f>
        <v>Общий объем потребления, нат. показ.</v>
      </c>
      <c r="B119" s="153"/>
      <c r="C119" s="153"/>
      <c r="D119" s="153"/>
      <c r="E119" s="153"/>
      <c r="F119" s="153"/>
      <c r="G119" s="153"/>
      <c r="H119" s="153"/>
      <c r="I119" s="153"/>
      <c r="J119" s="18">
        <f t="shared" ref="J119:J125" si="9">VLOOKUP(O119,АО,3,FALSE)</f>
        <v>192.08</v>
      </c>
      <c r="L119" s="47"/>
      <c r="O119" s="1" t="s">
        <v>138</v>
      </c>
    </row>
    <row r="120" spans="1:15" ht="32.25" customHeight="1" outlineLevel="2">
      <c r="A120" s="153" t="str">
        <f t="shared" si="8"/>
        <v>Оплачено потребителями, руб.</v>
      </c>
      <c r="B120" s="153"/>
      <c r="C120" s="153"/>
      <c r="D120" s="153"/>
      <c r="E120" s="153"/>
      <c r="F120" s="153"/>
      <c r="G120" s="153"/>
      <c r="H120" s="153"/>
      <c r="I120" s="153"/>
      <c r="J120" s="18">
        <f t="shared" si="9"/>
        <v>100261.83</v>
      </c>
      <c r="L120" s="47"/>
      <c r="O120" s="1" t="s">
        <v>139</v>
      </c>
    </row>
    <row r="121" spans="1:15" ht="32.25" customHeight="1" outlineLevel="2">
      <c r="A121" s="153" t="str">
        <f t="shared" si="8"/>
        <v>Задолженность потребителей, руб.</v>
      </c>
      <c r="B121" s="153"/>
      <c r="C121" s="153"/>
      <c r="D121" s="153"/>
      <c r="E121" s="153"/>
      <c r="F121" s="153"/>
      <c r="G121" s="153"/>
      <c r="H121" s="153"/>
      <c r="I121" s="153"/>
      <c r="J121" s="18">
        <f t="shared" si="9"/>
        <v>3052.3199999999924</v>
      </c>
      <c r="L121" s="47"/>
      <c r="O121" s="1" t="s">
        <v>140</v>
      </c>
    </row>
    <row r="122" spans="1:15" ht="32.25" customHeight="1" outlineLevel="2">
      <c r="A122" s="153" t="str">
        <f t="shared" si="8"/>
        <v>Начислено поставщиком (поставщиками) коммунального ресурса, руб.</v>
      </c>
      <c r="B122" s="153"/>
      <c r="C122" s="153"/>
      <c r="D122" s="153"/>
      <c r="E122" s="153"/>
      <c r="F122" s="153"/>
      <c r="G122" s="153"/>
      <c r="H122" s="153"/>
      <c r="I122" s="153"/>
      <c r="J122" s="18">
        <f t="shared" si="9"/>
        <v>103314.15</v>
      </c>
      <c r="L122" s="47"/>
      <c r="O122" s="1" t="s">
        <v>141</v>
      </c>
    </row>
    <row r="123" spans="1:15" ht="32.25" customHeight="1" outlineLevel="2">
      <c r="A123" s="153" t="str">
        <f t="shared" si="8"/>
        <v>Оплачено поставщику (поставщикам) коммунального ресурса, руб.</v>
      </c>
      <c r="B123" s="153"/>
      <c r="C123" s="153"/>
      <c r="D123" s="153"/>
      <c r="E123" s="153"/>
      <c r="F123" s="153"/>
      <c r="G123" s="153"/>
      <c r="H123" s="153"/>
      <c r="I123" s="153"/>
      <c r="J123" s="18">
        <f t="shared" si="9"/>
        <v>103314.15</v>
      </c>
      <c r="L123" s="47"/>
      <c r="O123" s="1" t="s">
        <v>142</v>
      </c>
    </row>
    <row r="124" spans="1:15" ht="32.25" customHeight="1" outlineLevel="2">
      <c r="A124" s="153" t="str">
        <f t="shared" si="8"/>
        <v>Задолженность перед поставщиком (поставщиками) коммунального ресурса, руб.</v>
      </c>
      <c r="B124" s="153"/>
      <c r="C124" s="153"/>
      <c r="D124" s="153"/>
      <c r="E124" s="153"/>
      <c r="F124" s="153"/>
      <c r="G124" s="153"/>
      <c r="H124" s="153"/>
      <c r="I124" s="153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3" t="str">
        <f t="shared" si="8"/>
        <v>Размер пени и штрафов, уплаченных поставщику (поставщикам) коммунального ресурса, руб.</v>
      </c>
      <c r="B125" s="153"/>
      <c r="C125" s="153"/>
      <c r="D125" s="153"/>
      <c r="E125" s="153"/>
      <c r="F125" s="153"/>
      <c r="G125" s="153"/>
      <c r="H125" s="153"/>
      <c r="I125" s="153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57" t="str">
        <f>IF(VLOOKUP("гвс",АО,3,FALSE)&gt;0,"Горячее водоснабжение",0)</f>
        <v>Горячее водоснабжение</v>
      </c>
      <c r="B126" s="157"/>
      <c r="C126" s="157"/>
      <c r="D126" s="158" t="str">
        <f>IF(VLOOKUP("гвс",АО,3,FALSE)&gt;0,VLOOKUP("гвс",АО,3,FALSE),0)</f>
        <v>Предоставляется</v>
      </c>
      <c r="E126" s="158"/>
      <c r="F126" s="13" t="str">
        <f>IF(VLOOKUP("гвс",АО,3,FALSE)&gt;0,VLOOKUP("гвс",АО,4,FALSE),0)</f>
        <v>куб.м.</v>
      </c>
      <c r="G126" s="159">
        <f>VLOOKUP("гвс",АО,5,FALSE)</f>
        <v>31273.08</v>
      </c>
      <c r="H126" s="158"/>
      <c r="I126" s="158"/>
      <c r="J126" s="158"/>
      <c r="L126" s="47"/>
    </row>
    <row r="127" spans="1:15" ht="32.25" customHeight="1" outlineLevel="2">
      <c r="A127" s="153" t="str">
        <f t="shared" ref="A127:A133" si="10">IF(VLOOKUP("гвс",АО,3,FALSE)&gt;0,VLOOKUP(O127,АО,2,FALSE),0)</f>
        <v>Общий объем потребления, нат. показ.</v>
      </c>
      <c r="B127" s="153"/>
      <c r="C127" s="153"/>
      <c r="D127" s="153"/>
      <c r="E127" s="153"/>
      <c r="F127" s="153"/>
      <c r="G127" s="153"/>
      <c r="H127" s="153"/>
      <c r="I127" s="153"/>
      <c r="J127" s="18">
        <f t="shared" ref="J127:J133" si="11">VLOOKUP(O127,АО,3,FALSE)</f>
        <v>2684.01</v>
      </c>
      <c r="L127" s="47"/>
      <c r="O127" s="1" t="s">
        <v>146</v>
      </c>
    </row>
    <row r="128" spans="1:15" ht="32.25" customHeight="1" outlineLevel="2">
      <c r="A128" s="153" t="str">
        <f t="shared" si="10"/>
        <v>Оплачено потребителями, руб.</v>
      </c>
      <c r="B128" s="153"/>
      <c r="C128" s="153"/>
      <c r="D128" s="153"/>
      <c r="E128" s="153"/>
      <c r="F128" s="153"/>
      <c r="G128" s="153"/>
      <c r="H128" s="153"/>
      <c r="I128" s="153"/>
      <c r="J128" s="18">
        <f t="shared" si="11"/>
        <v>31273.08</v>
      </c>
      <c r="L128" s="47"/>
      <c r="O128" s="1" t="s">
        <v>147</v>
      </c>
    </row>
    <row r="129" spans="1:15" ht="32.25" customHeight="1" outlineLevel="2">
      <c r="A129" s="153" t="str">
        <f t="shared" si="10"/>
        <v>Задолженность потребителей, руб.</v>
      </c>
      <c r="B129" s="153"/>
      <c r="C129" s="153"/>
      <c r="D129" s="153"/>
      <c r="E129" s="153"/>
      <c r="F129" s="153"/>
      <c r="G129" s="153"/>
      <c r="H129" s="153"/>
      <c r="I129" s="153"/>
      <c r="J129" s="18">
        <f t="shared" si="11"/>
        <v>0</v>
      </c>
      <c r="L129" s="47"/>
      <c r="O129" s="1" t="s">
        <v>148</v>
      </c>
    </row>
    <row r="130" spans="1:15" ht="32.25" customHeight="1" outlineLevel="2">
      <c r="A130" s="153" t="str">
        <f t="shared" si="10"/>
        <v>Начислено поставщиком (поставщиками) коммунального ресурса, руб.</v>
      </c>
      <c r="B130" s="153"/>
      <c r="C130" s="153"/>
      <c r="D130" s="153"/>
      <c r="E130" s="153"/>
      <c r="F130" s="153"/>
      <c r="G130" s="153"/>
      <c r="H130" s="153"/>
      <c r="I130" s="153"/>
      <c r="J130" s="18">
        <f t="shared" si="11"/>
        <v>31273.08</v>
      </c>
      <c r="L130" s="47"/>
      <c r="O130" s="1" t="s">
        <v>149</v>
      </c>
    </row>
    <row r="131" spans="1:15" ht="32.25" customHeight="1" outlineLevel="2">
      <c r="A131" s="153" t="str">
        <f t="shared" si="10"/>
        <v>Оплачено поставщику (поставщикам) коммунального ресурса, руб.</v>
      </c>
      <c r="B131" s="153"/>
      <c r="C131" s="153"/>
      <c r="D131" s="153"/>
      <c r="E131" s="153"/>
      <c r="F131" s="153"/>
      <c r="G131" s="153"/>
      <c r="H131" s="153"/>
      <c r="I131" s="153"/>
      <c r="J131" s="18">
        <f t="shared" si="11"/>
        <v>31273.08</v>
      </c>
      <c r="L131" s="47"/>
      <c r="O131" s="1" t="s">
        <v>150</v>
      </c>
    </row>
    <row r="132" spans="1:15" ht="32.25" customHeight="1" outlineLevel="2">
      <c r="A132" s="153" t="str">
        <f t="shared" si="10"/>
        <v>Задолженность перед поставщиком (поставщиками) коммунального ресурса, руб.</v>
      </c>
      <c r="B132" s="153"/>
      <c r="C132" s="153"/>
      <c r="D132" s="153"/>
      <c r="E132" s="153"/>
      <c r="F132" s="153"/>
      <c r="G132" s="153"/>
      <c r="H132" s="153"/>
      <c r="I132" s="153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53" t="str">
        <f t="shared" si="10"/>
        <v>Размер пени и штрафов, уплаченных поставщику (поставщикам) коммунального ресурса, руб.</v>
      </c>
      <c r="B133" s="153"/>
      <c r="C133" s="153"/>
      <c r="D133" s="153"/>
      <c r="E133" s="153"/>
      <c r="F133" s="153"/>
      <c r="G133" s="153"/>
      <c r="H133" s="153"/>
      <c r="I133" s="153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57">
        <f>IF(VLOOKUP("отопление",АО,3,FALSE)&gt;0,"Отопление",0)</f>
        <v>0</v>
      </c>
      <c r="B134" s="157"/>
      <c r="C134" s="157"/>
      <c r="D134" s="158">
        <f>IF(VLOOKUP("отопление",АО,3,FALSE)&gt;0,VLOOKUP("отопление",АО,3,FALSE),0)</f>
        <v>0</v>
      </c>
      <c r="E134" s="158"/>
      <c r="F134" s="13">
        <f>IF(VLOOKUP("отопление",АО,3,FALSE)&gt;0,VLOOKUP("отопление",АО,4,FALSE),0)</f>
        <v>0</v>
      </c>
      <c r="G134" s="159">
        <f>VLOOKUP("отопление",АО,5,FALSE)</f>
        <v>0</v>
      </c>
      <c r="H134" s="158"/>
      <c r="I134" s="158"/>
      <c r="J134" s="158"/>
      <c r="L134" s="47"/>
    </row>
    <row r="135" spans="1:15" ht="32.25" hidden="1" customHeight="1" outlineLevel="2">
      <c r="A135" s="153">
        <f t="shared" ref="A135:A141" si="12">IF(VLOOKUP("отопление",АО,3,FALSE)&gt;0,VLOOKUP(O135,АО,2,FALSE),0)</f>
        <v>0</v>
      </c>
      <c r="B135" s="153"/>
      <c r="C135" s="153"/>
      <c r="D135" s="153"/>
      <c r="E135" s="153"/>
      <c r="F135" s="153"/>
      <c r="G135" s="153"/>
      <c r="H135" s="153"/>
      <c r="I135" s="153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3">
        <f t="shared" si="12"/>
        <v>0</v>
      </c>
      <c r="B136" s="153"/>
      <c r="C136" s="153"/>
      <c r="D136" s="153"/>
      <c r="E136" s="153"/>
      <c r="F136" s="153"/>
      <c r="G136" s="153"/>
      <c r="H136" s="153"/>
      <c r="I136" s="153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3">
        <f t="shared" si="12"/>
        <v>0</v>
      </c>
      <c r="B137" s="153"/>
      <c r="C137" s="153"/>
      <c r="D137" s="153"/>
      <c r="E137" s="153"/>
      <c r="F137" s="153"/>
      <c r="G137" s="153"/>
      <c r="H137" s="153"/>
      <c r="I137" s="153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3">
        <f t="shared" si="12"/>
        <v>0</v>
      </c>
      <c r="B138" s="153"/>
      <c r="C138" s="153"/>
      <c r="D138" s="153"/>
      <c r="E138" s="153"/>
      <c r="F138" s="153"/>
      <c r="G138" s="153"/>
      <c r="H138" s="153"/>
      <c r="I138" s="153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3">
        <f t="shared" si="12"/>
        <v>0</v>
      </c>
      <c r="B139" s="153"/>
      <c r="C139" s="153"/>
      <c r="D139" s="153"/>
      <c r="E139" s="153"/>
      <c r="F139" s="153"/>
      <c r="G139" s="153"/>
      <c r="H139" s="153"/>
      <c r="I139" s="153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3">
        <f t="shared" si="12"/>
        <v>0</v>
      </c>
      <c r="B140" s="153"/>
      <c r="C140" s="153"/>
      <c r="D140" s="153"/>
      <c r="E140" s="153"/>
      <c r="F140" s="153"/>
      <c r="G140" s="153"/>
      <c r="H140" s="153"/>
      <c r="I140" s="153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3">
        <f t="shared" si="12"/>
        <v>0</v>
      </c>
      <c r="B141" s="153"/>
      <c r="C141" s="153"/>
      <c r="D141" s="153"/>
      <c r="E141" s="153"/>
      <c r="F141" s="153"/>
      <c r="G141" s="153"/>
      <c r="H141" s="153"/>
      <c r="I141" s="153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3" t="s">
        <v>44</v>
      </c>
      <c r="B144" s="153"/>
      <c r="C144" s="153"/>
      <c r="D144" s="153"/>
      <c r="E144" s="153"/>
      <c r="F144" s="153"/>
      <c r="G144" s="153"/>
      <c r="H144" s="153"/>
      <c r="I144" s="153"/>
      <c r="J144" s="14">
        <f>VLOOKUP(O144,юр,3,FALSE)</f>
        <v>0</v>
      </c>
      <c r="O144" t="s">
        <v>170</v>
      </c>
    </row>
    <row r="145" spans="1:15" ht="18.75" customHeight="1" outlineLevel="1">
      <c r="A145" s="153" t="s">
        <v>45</v>
      </c>
      <c r="B145" s="153"/>
      <c r="C145" s="153"/>
      <c r="D145" s="153"/>
      <c r="E145" s="153"/>
      <c r="F145" s="153"/>
      <c r="G145" s="153"/>
      <c r="H145" s="153"/>
      <c r="I145" s="153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53" t="s">
        <v>173</v>
      </c>
      <c r="B146" s="153"/>
      <c r="C146" s="153"/>
      <c r="D146" s="153"/>
      <c r="E146" s="153"/>
      <c r="F146" s="153"/>
      <c r="G146" s="153"/>
      <c r="H146" s="153"/>
      <c r="I146" s="153"/>
      <c r="J146" s="9">
        <f>VLOOKUP(O146,юр,3,FALSE)</f>
        <v>0</v>
      </c>
      <c r="O146" t="s">
        <v>172</v>
      </c>
    </row>
    <row r="149" spans="1:15" ht="52.5" customHeight="1">
      <c r="A149" s="178" t="s">
        <v>181</v>
      </c>
      <c r="B149" s="178"/>
      <c r="C149" s="178"/>
      <c r="D149" s="178"/>
      <c r="E149" s="178"/>
      <c r="F149" s="178"/>
      <c r="G149" s="178"/>
      <c r="H149" s="178"/>
      <c r="I149" s="178"/>
      <c r="J149" s="178"/>
    </row>
    <row r="151" spans="1:15">
      <c r="A151" s="1" t="s">
        <v>182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80" t="s">
        <v>187</v>
      </c>
      <c r="B154" s="180"/>
      <c r="C154" s="180"/>
      <c r="D154" s="180"/>
      <c r="E154" s="27">
        <f>ПТО!G1</f>
        <v>-105068.68</v>
      </c>
    </row>
    <row r="155" spans="1:15" ht="34.5" customHeight="1">
      <c r="A155" s="179" t="s">
        <v>189</v>
      </c>
      <c r="B155" s="179"/>
      <c r="C155" s="179"/>
      <c r="D155" s="179"/>
      <c r="E155" s="28">
        <f>J13</f>
        <v>127251.93599999999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3" t="s">
        <v>18</v>
      </c>
      <c r="B157" s="163"/>
      <c r="C157" s="163"/>
      <c r="D157" s="163"/>
      <c r="E157" s="163"/>
      <c r="F157" s="163" t="s">
        <v>19</v>
      </c>
      <c r="G157" s="163"/>
      <c r="H157" s="20" t="s">
        <v>56</v>
      </c>
      <c r="I157" s="163" t="s">
        <v>20</v>
      </c>
      <c r="J157" s="163"/>
    </row>
    <row r="158" spans="1:15" ht="29.25" customHeight="1">
      <c r="A158" s="155" t="str">
        <f t="shared" ref="A158:A163" si="14">IF(N158&gt;0,N158,0)</f>
        <v>Техническое освидетельствование лифта.</v>
      </c>
      <c r="B158" s="155"/>
      <c r="C158" s="155"/>
      <c r="D158" s="155"/>
      <c r="E158" s="155"/>
      <c r="F158" s="160">
        <f t="shared" ref="F158:F163" si="15">IF(ISERROR(VLOOKUP(A158,$A$28:$J$72,6,FALSE)),0,VLOOKUP(A158,$A$28:$J$72,6,FALSE))</f>
        <v>8100</v>
      </c>
      <c r="G158" s="160"/>
      <c r="H158" s="24" t="str">
        <f t="shared" ref="H158:H187" si="16">VLOOKUP(A158,$A$28:$J$72,8,FALSE)</f>
        <v>ежегодно</v>
      </c>
      <c r="I158" s="156">
        <f t="shared" ref="I158:I161" si="17">VLOOKUP(A158,$A$28:$J$72,9,FALSE)</f>
        <v>1</v>
      </c>
      <c r="J158" s="156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5" t="str">
        <f t="shared" si="14"/>
        <v>Техническое обслуживание охранной сигнализации.</v>
      </c>
      <c r="B159" s="155"/>
      <c r="C159" s="155"/>
      <c r="D159" s="155"/>
      <c r="E159" s="155"/>
      <c r="F159" s="160">
        <f t="shared" si="15"/>
        <v>11550.000000000002</v>
      </c>
      <c r="G159" s="160"/>
      <c r="H159" s="24" t="str">
        <f t="shared" si="16"/>
        <v>ежемесячно</v>
      </c>
      <c r="I159" s="156">
        <f t="shared" si="17"/>
        <v>12</v>
      </c>
      <c r="J159" s="156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55" t="str">
        <f t="shared" si="14"/>
        <v>Приобретение и установка доводчика тамбурной двери.</v>
      </c>
      <c r="B160" s="155"/>
      <c r="C160" s="155"/>
      <c r="D160" s="155"/>
      <c r="E160" s="155"/>
      <c r="F160" s="160">
        <f t="shared" si="15"/>
        <v>1200</v>
      </c>
      <c r="G160" s="160"/>
      <c r="H160" s="24" t="str">
        <f t="shared" si="16"/>
        <v>разово</v>
      </c>
      <c r="I160" s="156">
        <f t="shared" si="17"/>
        <v>1</v>
      </c>
      <c r="J160" s="156"/>
      <c r="M160" s="22" t="s">
        <v>71</v>
      </c>
      <c r="N160" s="1" t="str">
        <v>Приобретение и установка доводчика тамбурной двери.</v>
      </c>
    </row>
    <row r="161" spans="1:14" ht="28.5" customHeight="1">
      <c r="A161" s="155" t="str">
        <f>IF(N161&gt;0,N161,0)</f>
        <v>Механизированная уборка и вывоз снега с придомовой территории.</v>
      </c>
      <c r="B161" s="155"/>
      <c r="C161" s="155"/>
      <c r="D161" s="155"/>
      <c r="E161" s="155"/>
      <c r="F161" s="160">
        <f t="shared" si="15"/>
        <v>21000</v>
      </c>
      <c r="G161" s="160"/>
      <c r="H161" s="24" t="str">
        <f t="shared" si="16"/>
        <v>разово</v>
      </c>
      <c r="I161" s="156">
        <f t="shared" si="17"/>
        <v>1</v>
      </c>
      <c r="J161" s="156"/>
      <c r="M161" s="22" t="s">
        <v>71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55" t="str">
        <f t="shared" si="14"/>
        <v>Ремонт пассажирского лифта (замена платы питания и модульной кнопки приказа 6 этаж).</v>
      </c>
      <c r="B162" s="155"/>
      <c r="C162" s="155"/>
      <c r="D162" s="155"/>
      <c r="E162" s="155"/>
      <c r="F162" s="160">
        <f t="shared" si="15"/>
        <v>17749</v>
      </c>
      <c r="G162" s="160"/>
      <c r="H162" s="24" t="str">
        <f t="shared" si="16"/>
        <v>разово</v>
      </c>
      <c r="I162" s="156">
        <f>VLOOKUP(A162,$A$28:$J$72,9,FALSE)</f>
        <v>1</v>
      </c>
      <c r="J162" s="156"/>
      <c r="M162" s="22" t="s">
        <v>71</v>
      </c>
      <c r="N162" s="1" t="str">
        <v>Ремонт пассажирского лифта (замена платы питания и модульной кнопки приказа 6 этаж).</v>
      </c>
    </row>
    <row r="163" spans="1:14" ht="28.5" customHeight="1">
      <c r="A163" s="155" t="str">
        <f t="shared" si="14"/>
        <v>Приобретение и замена АКБ охранной сигнализации.</v>
      </c>
      <c r="B163" s="155"/>
      <c r="C163" s="155"/>
      <c r="D163" s="155"/>
      <c r="E163" s="155"/>
      <c r="F163" s="160">
        <f t="shared" si="15"/>
        <v>400</v>
      </c>
      <c r="G163" s="160"/>
      <c r="H163" s="24" t="str">
        <f t="shared" si="16"/>
        <v>разово</v>
      </c>
      <c r="I163" s="156">
        <f>VLOOKUP(A163,$A$28:$J$72,9,FALSE)</f>
        <v>1</v>
      </c>
      <c r="J163" s="156"/>
      <c r="M163" s="22" t="s">
        <v>71</v>
      </c>
      <c r="N163" s="1" t="str">
        <v>Приобретение и замена АКБ охранной сигнализации.</v>
      </c>
    </row>
    <row r="164" spans="1:14" ht="28.5" hidden="1" customHeight="1">
      <c r="A164" s="155">
        <f t="shared" ref="A164:A187" si="18">IF(N164&gt;0,N164,0)</f>
        <v>0</v>
      </c>
      <c r="B164" s="155"/>
      <c r="C164" s="155"/>
      <c r="D164" s="155"/>
      <c r="E164" s="155"/>
      <c r="F164" s="160">
        <f t="shared" ref="F164:F187" si="19">IF(ISERROR(VLOOKUP(A164,$A$28:$J$72,6,FALSE)),0,VLOOKUP(A164,$A$28:$J$72,6,FALSE))</f>
        <v>0</v>
      </c>
      <c r="G164" s="160"/>
      <c r="H164" s="29" t="e">
        <f t="shared" si="16"/>
        <v>#N/A</v>
      </c>
      <c r="I164" s="156" t="e">
        <f t="shared" ref="I164:I187" si="20">VLOOKUP(A164,$A$28:$J$72,9,FALSE)</f>
        <v>#N/A</v>
      </c>
      <c r="J164" s="156"/>
      <c r="M164" s="22" t="s">
        <v>71</v>
      </c>
      <c r="N164" s="1">
        <v>0</v>
      </c>
    </row>
    <row r="165" spans="1:14" ht="28.5" hidden="1" customHeight="1">
      <c r="A165" s="155">
        <f t="shared" si="18"/>
        <v>0</v>
      </c>
      <c r="B165" s="155"/>
      <c r="C165" s="155"/>
      <c r="D165" s="155"/>
      <c r="E165" s="155"/>
      <c r="F165" s="160">
        <f t="shared" si="19"/>
        <v>0</v>
      </c>
      <c r="G165" s="160"/>
      <c r="H165" s="29" t="e">
        <f t="shared" si="16"/>
        <v>#N/A</v>
      </c>
      <c r="I165" s="156" t="e">
        <f t="shared" si="20"/>
        <v>#N/A</v>
      </c>
      <c r="J165" s="156"/>
      <c r="M165" s="22" t="s">
        <v>71</v>
      </c>
      <c r="N165" s="1">
        <v>0</v>
      </c>
    </row>
    <row r="166" spans="1:14" ht="28.5" hidden="1" customHeight="1">
      <c r="A166" s="155">
        <f t="shared" si="18"/>
        <v>0</v>
      </c>
      <c r="B166" s="155"/>
      <c r="C166" s="155"/>
      <c r="D166" s="155"/>
      <c r="E166" s="155"/>
      <c r="F166" s="160">
        <f t="shared" si="19"/>
        <v>0</v>
      </c>
      <c r="G166" s="160"/>
      <c r="H166" s="29" t="e">
        <f t="shared" si="16"/>
        <v>#N/A</v>
      </c>
      <c r="I166" s="156" t="e">
        <f t="shared" si="20"/>
        <v>#N/A</v>
      </c>
      <c r="J166" s="156"/>
      <c r="M166" s="22" t="s">
        <v>71</v>
      </c>
      <c r="N166" s="1">
        <v>0</v>
      </c>
    </row>
    <row r="167" spans="1:14" ht="28.5" hidden="1" customHeight="1">
      <c r="A167" s="155">
        <f t="shared" si="18"/>
        <v>0</v>
      </c>
      <c r="B167" s="155"/>
      <c r="C167" s="155"/>
      <c r="D167" s="155"/>
      <c r="E167" s="155"/>
      <c r="F167" s="160">
        <f t="shared" si="19"/>
        <v>0</v>
      </c>
      <c r="G167" s="160"/>
      <c r="H167" s="29" t="e">
        <f t="shared" si="16"/>
        <v>#N/A</v>
      </c>
      <c r="I167" s="156" t="e">
        <f t="shared" si="20"/>
        <v>#N/A</v>
      </c>
      <c r="J167" s="156"/>
      <c r="M167" s="22" t="s">
        <v>71</v>
      </c>
      <c r="N167" s="1">
        <v>0</v>
      </c>
    </row>
    <row r="168" spans="1:14" ht="28.5" hidden="1" customHeight="1">
      <c r="A168" s="155">
        <f t="shared" si="18"/>
        <v>0</v>
      </c>
      <c r="B168" s="155"/>
      <c r="C168" s="155"/>
      <c r="D168" s="155"/>
      <c r="E168" s="155"/>
      <c r="F168" s="160">
        <f t="shared" si="19"/>
        <v>0</v>
      </c>
      <c r="G168" s="160"/>
      <c r="H168" s="29" t="e">
        <f t="shared" si="16"/>
        <v>#N/A</v>
      </c>
      <c r="I168" s="156" t="e">
        <f t="shared" si="20"/>
        <v>#N/A</v>
      </c>
      <c r="J168" s="156"/>
      <c r="M168" s="22" t="s">
        <v>71</v>
      </c>
      <c r="N168" s="1">
        <v>0</v>
      </c>
    </row>
    <row r="169" spans="1:14" ht="28.5" hidden="1" customHeight="1">
      <c r="A169" s="155">
        <f t="shared" si="18"/>
        <v>0</v>
      </c>
      <c r="B169" s="155"/>
      <c r="C169" s="155"/>
      <c r="D169" s="155"/>
      <c r="E169" s="155"/>
      <c r="F169" s="160">
        <f t="shared" si="19"/>
        <v>0</v>
      </c>
      <c r="G169" s="160"/>
      <c r="H169" s="29" t="e">
        <f t="shared" si="16"/>
        <v>#N/A</v>
      </c>
      <c r="I169" s="156" t="e">
        <f t="shared" si="20"/>
        <v>#N/A</v>
      </c>
      <c r="J169" s="156"/>
      <c r="M169" s="22" t="s">
        <v>71</v>
      </c>
      <c r="N169" s="1">
        <v>0</v>
      </c>
    </row>
    <row r="170" spans="1:14" ht="28.5" hidden="1" customHeight="1">
      <c r="A170" s="155">
        <f t="shared" si="18"/>
        <v>0</v>
      </c>
      <c r="B170" s="155"/>
      <c r="C170" s="155"/>
      <c r="D170" s="155"/>
      <c r="E170" s="155"/>
      <c r="F170" s="160">
        <f t="shared" si="19"/>
        <v>0</v>
      </c>
      <c r="G170" s="160"/>
      <c r="H170" s="29" t="e">
        <f t="shared" si="16"/>
        <v>#N/A</v>
      </c>
      <c r="I170" s="156" t="e">
        <f t="shared" si="20"/>
        <v>#N/A</v>
      </c>
      <c r="J170" s="156"/>
      <c r="M170" s="22" t="s">
        <v>71</v>
      </c>
      <c r="N170" s="1">
        <v>0</v>
      </c>
    </row>
    <row r="171" spans="1:14" ht="28.5" hidden="1" customHeight="1">
      <c r="A171" s="155">
        <f t="shared" si="18"/>
        <v>0</v>
      </c>
      <c r="B171" s="155"/>
      <c r="C171" s="155"/>
      <c r="D171" s="155"/>
      <c r="E171" s="155"/>
      <c r="F171" s="160">
        <f t="shared" si="19"/>
        <v>0</v>
      </c>
      <c r="G171" s="160"/>
      <c r="H171" s="29" t="e">
        <f t="shared" si="16"/>
        <v>#N/A</v>
      </c>
      <c r="I171" s="156" t="e">
        <f t="shared" si="20"/>
        <v>#N/A</v>
      </c>
      <c r="J171" s="156"/>
      <c r="M171" s="22" t="s">
        <v>71</v>
      </c>
      <c r="N171" s="1">
        <v>0</v>
      </c>
    </row>
    <row r="172" spans="1:14" ht="28.5" hidden="1" customHeight="1">
      <c r="A172" s="155">
        <f t="shared" si="18"/>
        <v>0</v>
      </c>
      <c r="B172" s="155"/>
      <c r="C172" s="155"/>
      <c r="D172" s="155"/>
      <c r="E172" s="155"/>
      <c r="F172" s="160">
        <f t="shared" si="19"/>
        <v>0</v>
      </c>
      <c r="G172" s="160"/>
      <c r="H172" s="29" t="e">
        <f t="shared" si="16"/>
        <v>#N/A</v>
      </c>
      <c r="I172" s="156" t="e">
        <f t="shared" si="20"/>
        <v>#N/A</v>
      </c>
      <c r="J172" s="156"/>
      <c r="M172" s="22" t="s">
        <v>71</v>
      </c>
      <c r="N172" s="1">
        <v>0</v>
      </c>
    </row>
    <row r="173" spans="1:14" ht="28.5" hidden="1" customHeight="1">
      <c r="A173" s="155">
        <f t="shared" si="18"/>
        <v>0</v>
      </c>
      <c r="B173" s="155"/>
      <c r="C173" s="155"/>
      <c r="D173" s="155"/>
      <c r="E173" s="155"/>
      <c r="F173" s="160">
        <f t="shared" si="19"/>
        <v>0</v>
      </c>
      <c r="G173" s="160"/>
      <c r="H173" s="29" t="e">
        <f t="shared" si="16"/>
        <v>#N/A</v>
      </c>
      <c r="I173" s="156" t="e">
        <f t="shared" si="20"/>
        <v>#N/A</v>
      </c>
      <c r="J173" s="156"/>
      <c r="M173" s="22" t="s">
        <v>71</v>
      </c>
      <c r="N173" s="1">
        <v>0</v>
      </c>
    </row>
    <row r="174" spans="1:14" ht="28.5" hidden="1" customHeight="1">
      <c r="A174" s="155">
        <f t="shared" si="18"/>
        <v>0</v>
      </c>
      <c r="B174" s="155"/>
      <c r="C174" s="155"/>
      <c r="D174" s="155"/>
      <c r="E174" s="155"/>
      <c r="F174" s="160">
        <f t="shared" si="19"/>
        <v>0</v>
      </c>
      <c r="G174" s="160"/>
      <c r="H174" s="29" t="e">
        <f t="shared" si="16"/>
        <v>#N/A</v>
      </c>
      <c r="I174" s="156" t="e">
        <f t="shared" si="20"/>
        <v>#N/A</v>
      </c>
      <c r="J174" s="156"/>
      <c r="M174" s="22" t="s">
        <v>71</v>
      </c>
      <c r="N174" s="1">
        <v>0</v>
      </c>
    </row>
    <row r="175" spans="1:14" ht="28.5" hidden="1" customHeight="1">
      <c r="A175" s="155">
        <f t="shared" si="18"/>
        <v>0</v>
      </c>
      <c r="B175" s="155"/>
      <c r="C175" s="155"/>
      <c r="D175" s="155"/>
      <c r="E175" s="155"/>
      <c r="F175" s="160">
        <f t="shared" si="19"/>
        <v>0</v>
      </c>
      <c r="G175" s="160"/>
      <c r="H175" s="29" t="e">
        <f t="shared" si="16"/>
        <v>#N/A</v>
      </c>
      <c r="I175" s="156" t="e">
        <f t="shared" si="20"/>
        <v>#N/A</v>
      </c>
      <c r="J175" s="156"/>
      <c r="M175" s="22" t="s">
        <v>71</v>
      </c>
      <c r="N175" s="1">
        <v>0</v>
      </c>
    </row>
    <row r="176" spans="1:14" ht="28.5" hidden="1" customHeight="1">
      <c r="A176" s="155">
        <f t="shared" si="18"/>
        <v>0</v>
      </c>
      <c r="B176" s="155"/>
      <c r="C176" s="155"/>
      <c r="D176" s="155"/>
      <c r="E176" s="155"/>
      <c r="F176" s="160">
        <f t="shared" si="19"/>
        <v>0</v>
      </c>
      <c r="G176" s="160"/>
      <c r="H176" s="29" t="e">
        <f t="shared" si="16"/>
        <v>#N/A</v>
      </c>
      <c r="I176" s="156" t="e">
        <f t="shared" si="20"/>
        <v>#N/A</v>
      </c>
      <c r="J176" s="156"/>
      <c r="M176" s="22" t="s">
        <v>71</v>
      </c>
      <c r="N176" s="1">
        <v>0</v>
      </c>
    </row>
    <row r="177" spans="1:14" ht="28.5" hidden="1" customHeight="1">
      <c r="A177" s="155">
        <f t="shared" si="18"/>
        <v>0</v>
      </c>
      <c r="B177" s="155"/>
      <c r="C177" s="155"/>
      <c r="D177" s="155"/>
      <c r="E177" s="155"/>
      <c r="F177" s="160">
        <f t="shared" si="19"/>
        <v>0</v>
      </c>
      <c r="G177" s="160"/>
      <c r="H177" s="29" t="e">
        <f t="shared" si="16"/>
        <v>#N/A</v>
      </c>
      <c r="I177" s="156" t="e">
        <f t="shared" si="20"/>
        <v>#N/A</v>
      </c>
      <c r="J177" s="156"/>
      <c r="M177" s="22" t="s">
        <v>71</v>
      </c>
      <c r="N177" s="1">
        <v>0</v>
      </c>
    </row>
    <row r="178" spans="1:14" ht="28.5" hidden="1" customHeight="1">
      <c r="A178" s="155">
        <f t="shared" si="18"/>
        <v>0</v>
      </c>
      <c r="B178" s="155"/>
      <c r="C178" s="155"/>
      <c r="D178" s="155"/>
      <c r="E178" s="155"/>
      <c r="F178" s="160">
        <f t="shared" si="19"/>
        <v>0</v>
      </c>
      <c r="G178" s="160"/>
      <c r="H178" s="29" t="e">
        <f t="shared" si="16"/>
        <v>#N/A</v>
      </c>
      <c r="I178" s="156" t="e">
        <f t="shared" si="20"/>
        <v>#N/A</v>
      </c>
      <c r="J178" s="156"/>
      <c r="M178" s="22" t="s">
        <v>71</v>
      </c>
      <c r="N178" s="1">
        <v>0</v>
      </c>
    </row>
    <row r="179" spans="1:14" ht="28.5" hidden="1" customHeight="1">
      <c r="A179" s="155">
        <f t="shared" si="18"/>
        <v>0</v>
      </c>
      <c r="B179" s="155"/>
      <c r="C179" s="155"/>
      <c r="D179" s="155"/>
      <c r="E179" s="155"/>
      <c r="F179" s="160">
        <f t="shared" si="19"/>
        <v>0</v>
      </c>
      <c r="G179" s="160"/>
      <c r="H179" s="29" t="e">
        <f t="shared" si="16"/>
        <v>#N/A</v>
      </c>
      <c r="I179" s="156" t="e">
        <f t="shared" si="20"/>
        <v>#N/A</v>
      </c>
      <c r="J179" s="156"/>
      <c r="M179" s="22" t="s">
        <v>71</v>
      </c>
      <c r="N179" s="1">
        <v>0</v>
      </c>
    </row>
    <row r="180" spans="1:14" ht="28.5" hidden="1" customHeight="1">
      <c r="A180" s="155">
        <f t="shared" si="18"/>
        <v>0</v>
      </c>
      <c r="B180" s="155"/>
      <c r="C180" s="155"/>
      <c r="D180" s="155"/>
      <c r="E180" s="155"/>
      <c r="F180" s="160">
        <f t="shared" si="19"/>
        <v>0</v>
      </c>
      <c r="G180" s="160"/>
      <c r="H180" s="29" t="e">
        <f t="shared" si="16"/>
        <v>#N/A</v>
      </c>
      <c r="I180" s="156" t="e">
        <f t="shared" si="20"/>
        <v>#N/A</v>
      </c>
      <c r="J180" s="156"/>
      <c r="M180" s="22" t="s">
        <v>71</v>
      </c>
      <c r="N180" s="1">
        <v>0</v>
      </c>
    </row>
    <row r="181" spans="1:14" ht="28.5" hidden="1" customHeight="1">
      <c r="A181" s="155">
        <f t="shared" si="18"/>
        <v>0</v>
      </c>
      <c r="B181" s="155"/>
      <c r="C181" s="155"/>
      <c r="D181" s="155"/>
      <c r="E181" s="155"/>
      <c r="F181" s="160">
        <f t="shared" si="19"/>
        <v>0</v>
      </c>
      <c r="G181" s="160"/>
      <c r="H181" s="29" t="e">
        <f t="shared" si="16"/>
        <v>#N/A</v>
      </c>
      <c r="I181" s="156" t="e">
        <f t="shared" si="20"/>
        <v>#N/A</v>
      </c>
      <c r="J181" s="156"/>
      <c r="M181" s="22" t="s">
        <v>71</v>
      </c>
      <c r="N181" s="1">
        <v>0</v>
      </c>
    </row>
    <row r="182" spans="1:14" ht="28.5" hidden="1" customHeight="1">
      <c r="A182" s="155">
        <f t="shared" si="18"/>
        <v>0</v>
      </c>
      <c r="B182" s="155"/>
      <c r="C182" s="155"/>
      <c r="D182" s="155"/>
      <c r="E182" s="155"/>
      <c r="F182" s="160">
        <f t="shared" si="19"/>
        <v>0</v>
      </c>
      <c r="G182" s="160"/>
      <c r="H182" s="29" t="e">
        <f t="shared" si="16"/>
        <v>#N/A</v>
      </c>
      <c r="I182" s="156" t="e">
        <f t="shared" si="20"/>
        <v>#N/A</v>
      </c>
      <c r="J182" s="156"/>
      <c r="M182" s="22" t="s">
        <v>71</v>
      </c>
      <c r="N182" s="1">
        <v>0</v>
      </c>
    </row>
    <row r="183" spans="1:14" ht="28.5" hidden="1" customHeight="1">
      <c r="A183" s="155">
        <f t="shared" si="18"/>
        <v>0</v>
      </c>
      <c r="B183" s="155"/>
      <c r="C183" s="155"/>
      <c r="D183" s="155"/>
      <c r="E183" s="155"/>
      <c r="F183" s="160">
        <f t="shared" si="19"/>
        <v>0</v>
      </c>
      <c r="G183" s="160"/>
      <c r="H183" s="29" t="e">
        <f t="shared" si="16"/>
        <v>#N/A</v>
      </c>
      <c r="I183" s="156" t="e">
        <f t="shared" si="20"/>
        <v>#N/A</v>
      </c>
      <c r="J183" s="156"/>
      <c r="M183" s="22" t="s">
        <v>71</v>
      </c>
      <c r="N183" s="1">
        <v>0</v>
      </c>
    </row>
    <row r="184" spans="1:14" ht="28.5" hidden="1" customHeight="1">
      <c r="A184" s="155">
        <f t="shared" si="18"/>
        <v>0</v>
      </c>
      <c r="B184" s="155"/>
      <c r="C184" s="155"/>
      <c r="D184" s="155"/>
      <c r="E184" s="155"/>
      <c r="F184" s="160">
        <f t="shared" si="19"/>
        <v>0</v>
      </c>
      <c r="G184" s="160"/>
      <c r="H184" s="29" t="e">
        <f t="shared" si="16"/>
        <v>#N/A</v>
      </c>
      <c r="I184" s="156" t="e">
        <f t="shared" si="20"/>
        <v>#N/A</v>
      </c>
      <c r="J184" s="156"/>
      <c r="M184" s="22" t="s">
        <v>71</v>
      </c>
      <c r="N184" s="1">
        <v>0</v>
      </c>
    </row>
    <row r="185" spans="1:14" ht="28.5" hidden="1" customHeight="1">
      <c r="A185" s="155">
        <f t="shared" si="18"/>
        <v>0</v>
      </c>
      <c r="B185" s="155"/>
      <c r="C185" s="155"/>
      <c r="D185" s="155"/>
      <c r="E185" s="155"/>
      <c r="F185" s="160">
        <f t="shared" si="19"/>
        <v>0</v>
      </c>
      <c r="G185" s="160"/>
      <c r="H185" s="29" t="e">
        <f t="shared" si="16"/>
        <v>#N/A</v>
      </c>
      <c r="I185" s="156" t="e">
        <f t="shared" si="20"/>
        <v>#N/A</v>
      </c>
      <c r="J185" s="156"/>
      <c r="M185" s="22" t="s">
        <v>71</v>
      </c>
      <c r="N185" s="1">
        <v>0</v>
      </c>
    </row>
    <row r="186" spans="1:14" ht="28.5" hidden="1" customHeight="1">
      <c r="A186" s="155">
        <f>IF(N186&gt;0,N186,0)</f>
        <v>0</v>
      </c>
      <c r="B186" s="155"/>
      <c r="C186" s="155"/>
      <c r="D186" s="155"/>
      <c r="E186" s="155"/>
      <c r="F186" s="160">
        <f t="shared" si="19"/>
        <v>0</v>
      </c>
      <c r="G186" s="160"/>
      <c r="H186" s="29" t="e">
        <f t="shared" si="16"/>
        <v>#N/A</v>
      </c>
      <c r="I186" s="156" t="e">
        <f t="shared" si="20"/>
        <v>#N/A</v>
      </c>
      <c r="J186" s="156"/>
      <c r="M186" s="22" t="s">
        <v>71</v>
      </c>
      <c r="N186" s="1">
        <v>0</v>
      </c>
    </row>
    <row r="187" spans="1:14" ht="28.5" hidden="1" customHeight="1">
      <c r="A187" s="155">
        <f t="shared" si="18"/>
        <v>0</v>
      </c>
      <c r="B187" s="155"/>
      <c r="C187" s="155"/>
      <c r="D187" s="155"/>
      <c r="E187" s="155"/>
      <c r="F187" s="160">
        <f t="shared" si="19"/>
        <v>0</v>
      </c>
      <c r="G187" s="160"/>
      <c r="H187" s="29" t="e">
        <f t="shared" si="16"/>
        <v>#N/A</v>
      </c>
      <c r="I187" s="156" t="e">
        <f t="shared" si="20"/>
        <v>#N/A</v>
      </c>
      <c r="J187" s="156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80" t="s">
        <v>190</v>
      </c>
      <c r="B190" s="180"/>
      <c r="C190" s="180"/>
      <c r="D190" s="180"/>
      <c r="E190" s="27">
        <f>SUM(F158:G187)</f>
        <v>59999</v>
      </c>
    </row>
    <row r="191" spans="1:14" ht="51.75" customHeight="1">
      <c r="A191" s="180" t="s">
        <v>191</v>
      </c>
      <c r="B191" s="180"/>
      <c r="C191" s="180"/>
      <c r="D191" s="180"/>
      <c r="E191" s="27">
        <f>E190+E154-E155</f>
        <v>-172321.61599999998</v>
      </c>
    </row>
    <row r="192" spans="1:14">
      <c r="A192" s="104" t="s">
        <v>174</v>
      </c>
    </row>
    <row r="193" spans="1:10" ht="62.25" customHeight="1">
      <c r="A193" s="154" t="s">
        <v>188</v>
      </c>
      <c r="B193" s="154"/>
      <c r="C193" s="154"/>
      <c r="D193" s="154"/>
      <c r="E193" s="154"/>
      <c r="F193" s="154"/>
      <c r="G193" s="154"/>
      <c r="H193" s="154"/>
      <c r="I193" s="154"/>
      <c r="J193" s="154"/>
    </row>
    <row r="194" spans="1:10">
      <c r="A194" s="152" t="str">
        <f>ПТО!F12</f>
        <v xml:space="preserve">  -  поверка (замена) манометров и термометров</v>
      </c>
      <c r="B194" s="152"/>
      <c r="C194" s="152"/>
      <c r="D194" s="152"/>
      <c r="E194" s="152"/>
      <c r="F194" s="152"/>
      <c r="G194" s="152"/>
      <c r="H194" s="49">
        <f>ПТО!G12</f>
        <v>1200</v>
      </c>
      <c r="I194" s="50" t="s">
        <v>74</v>
      </c>
    </row>
    <row r="195" spans="1:10" ht="18.75" customHeight="1">
      <c r="A195" s="152" t="str">
        <f>ПТО!F13</f>
        <v xml:space="preserve">  -  техническое освидетельствование лифта</v>
      </c>
      <c r="B195" s="152"/>
      <c r="C195" s="152"/>
      <c r="D195" s="152"/>
      <c r="E195" s="152"/>
      <c r="F195" s="152"/>
      <c r="G195" s="152"/>
      <c r="H195" s="49">
        <f>ПТО!G13</f>
        <v>8100</v>
      </c>
      <c r="I195" s="50" t="s">
        <v>74</v>
      </c>
    </row>
    <row r="196" spans="1:10" ht="18.75" customHeight="1">
      <c r="A196" s="152" t="str">
        <f>ПТО!F14</f>
        <v xml:space="preserve">  -  техническое обслуживание охранной сигнализации</v>
      </c>
      <c r="B196" s="152"/>
      <c r="C196" s="152"/>
      <c r="D196" s="152"/>
      <c r="E196" s="152"/>
      <c r="F196" s="152"/>
      <c r="G196" s="152"/>
      <c r="H196" s="49">
        <f>ПТО!G14</f>
        <v>11550</v>
      </c>
      <c r="I196" s="50" t="s">
        <v>74</v>
      </c>
    </row>
    <row r="197" spans="1:10" ht="18.75" customHeight="1">
      <c r="A197" s="152" t="str">
        <f>ПТО!F15</f>
        <v xml:space="preserve">  -  установка системы видеонаблюдения</v>
      </c>
      <c r="B197" s="152"/>
      <c r="C197" s="152"/>
      <c r="D197" s="152"/>
      <c r="E197" s="152"/>
      <c r="F197" s="152"/>
      <c r="G197" s="152"/>
      <c r="H197" s="49">
        <f>ПТО!G15</f>
        <v>200000</v>
      </c>
      <c r="I197" s="50" t="s">
        <v>74</v>
      </c>
    </row>
    <row r="198" spans="1:10" ht="18.75" customHeight="1">
      <c r="A198" s="152" t="str">
        <f>ПТО!F16</f>
        <v xml:space="preserve">  -  монтаж греющего кабеля на кровли</v>
      </c>
      <c r="B198" s="152"/>
      <c r="C198" s="152"/>
      <c r="D198" s="152"/>
      <c r="E198" s="152"/>
      <c r="F198" s="152"/>
      <c r="G198" s="152"/>
      <c r="H198" s="49">
        <f>ПТО!G16</f>
        <v>70000</v>
      </c>
      <c r="I198" s="52" t="s">
        <v>74</v>
      </c>
    </row>
    <row r="199" spans="1:10" ht="18.75" hidden="1" customHeight="1">
      <c r="A199" s="152">
        <f>ПТО!F17</f>
        <v>0</v>
      </c>
      <c r="B199" s="152"/>
      <c r="C199" s="152"/>
      <c r="D199" s="152"/>
      <c r="E199" s="152"/>
      <c r="F199" s="152"/>
      <c r="G199" s="152"/>
      <c r="H199" s="49">
        <f>ПТО!G17</f>
        <v>0</v>
      </c>
      <c r="I199" s="50" t="s">
        <v>74</v>
      </c>
    </row>
    <row r="200" spans="1:10" hidden="1">
      <c r="A200" s="152">
        <f>ПТО!F18</f>
        <v>0</v>
      </c>
      <c r="B200" s="152"/>
      <c r="C200" s="152"/>
      <c r="D200" s="152"/>
      <c r="E200" s="152"/>
      <c r="F200" s="152"/>
      <c r="G200" s="152"/>
      <c r="H200" s="49">
        <f>ПТО!G18</f>
        <v>0</v>
      </c>
      <c r="I200" s="50" t="s">
        <v>74</v>
      </c>
    </row>
    <row r="201" spans="1:10" hidden="1">
      <c r="A201" s="152">
        <f>ПТО!F19</f>
        <v>0</v>
      </c>
      <c r="B201" s="152"/>
      <c r="C201" s="152"/>
      <c r="D201" s="152"/>
      <c r="E201" s="152"/>
      <c r="F201" s="152"/>
      <c r="G201" s="152"/>
      <c r="H201" s="49">
        <f>ПТО!G19</f>
        <v>0</v>
      </c>
      <c r="I201" s="50" t="s">
        <v>74</v>
      </c>
    </row>
    <row r="202" spans="1:10" hidden="1">
      <c r="A202" s="152">
        <f>ПТО!F20</f>
        <v>0</v>
      </c>
      <c r="B202" s="152"/>
      <c r="C202" s="152"/>
      <c r="D202" s="152"/>
      <c r="E202" s="152"/>
      <c r="F202" s="152"/>
      <c r="G202" s="152"/>
      <c r="H202" s="49">
        <f>ПТО!G20</f>
        <v>0</v>
      </c>
      <c r="I202" s="50" t="s">
        <v>74</v>
      </c>
    </row>
    <row r="203" spans="1:10" hidden="1">
      <c r="A203" s="152">
        <f>ПТО!F21</f>
        <v>0</v>
      </c>
      <c r="B203" s="152"/>
      <c r="C203" s="152"/>
      <c r="D203" s="152"/>
      <c r="E203" s="152"/>
      <c r="F203" s="152"/>
      <c r="G203" s="152"/>
      <c r="H203" s="49">
        <f>ПТО!G21</f>
        <v>0</v>
      </c>
      <c r="I203" s="50" t="s">
        <v>74</v>
      </c>
    </row>
    <row r="204" spans="1:10" hidden="1">
      <c r="A204" s="152">
        <f>ПТО!F22</f>
        <v>0</v>
      </c>
      <c r="B204" s="152"/>
      <c r="C204" s="152"/>
      <c r="D204" s="152"/>
      <c r="E204" s="152"/>
      <c r="F204" s="152"/>
      <c r="G204" s="152"/>
      <c r="H204" s="49">
        <f>ПТО!G22</f>
        <v>0</v>
      </c>
      <c r="I204" s="50" t="s">
        <v>74</v>
      </c>
    </row>
    <row r="205" spans="1:10" hidden="1">
      <c r="A205" s="152">
        <f>ПТО!F23</f>
        <v>0</v>
      </c>
      <c r="B205" s="152"/>
      <c r="C205" s="152"/>
      <c r="D205" s="152"/>
      <c r="E205" s="152"/>
      <c r="F205" s="152"/>
      <c r="G205" s="152"/>
      <c r="H205" s="49">
        <f>ПТО!G23</f>
        <v>0</v>
      </c>
      <c r="I205" s="50" t="s">
        <v>74</v>
      </c>
    </row>
    <row r="206" spans="1:10" hidden="1">
      <c r="A206" s="152">
        <f>ПТО!F24</f>
        <v>0</v>
      </c>
      <c r="B206" s="152"/>
      <c r="C206" s="152"/>
      <c r="D206" s="152"/>
      <c r="E206" s="152"/>
      <c r="F206" s="152"/>
      <c r="G206" s="152"/>
      <c r="H206" s="49">
        <f>ПТО!G24</f>
        <v>0</v>
      </c>
      <c r="I206" s="50" t="s">
        <v>74</v>
      </c>
    </row>
    <row r="207" spans="1:10" hidden="1">
      <c r="A207" s="152">
        <f>ПТО!F25</f>
        <v>0</v>
      </c>
      <c r="B207" s="152"/>
      <c r="C207" s="152"/>
      <c r="D207" s="152"/>
      <c r="E207" s="152"/>
      <c r="F207" s="152"/>
      <c r="G207" s="152"/>
      <c r="H207" s="49">
        <f>ПТО!G25</f>
        <v>0</v>
      </c>
      <c r="I207" s="50" t="s">
        <v>74</v>
      </c>
    </row>
    <row r="208" spans="1:10" hidden="1">
      <c r="A208" s="152">
        <f>ПТО!F26</f>
        <v>0</v>
      </c>
      <c r="B208" s="152"/>
      <c r="C208" s="152"/>
      <c r="D208" s="152"/>
      <c r="E208" s="152"/>
      <c r="F208" s="152"/>
      <c r="G208" s="152"/>
      <c r="H208" s="49">
        <f>ПТО!G26</f>
        <v>0</v>
      </c>
      <c r="I208" s="50" t="s">
        <v>74</v>
      </c>
    </row>
    <row r="209" spans="1:9" hidden="1">
      <c r="A209" s="152">
        <f>ПТО!F27</f>
        <v>0</v>
      </c>
      <c r="B209" s="152"/>
      <c r="C209" s="152"/>
      <c r="D209" s="152"/>
      <c r="E209" s="152"/>
      <c r="F209" s="152"/>
      <c r="G209" s="152"/>
      <c r="H209" s="49">
        <f>ПТО!G27</f>
        <v>0</v>
      </c>
      <c r="I209" s="50" t="s">
        <v>74</v>
      </c>
    </row>
    <row r="210" spans="1:9" hidden="1">
      <c r="A210" s="152">
        <f>ПТО!F28</f>
        <v>0</v>
      </c>
      <c r="B210" s="152"/>
      <c r="C210" s="152"/>
      <c r="D210" s="152"/>
      <c r="E210" s="152"/>
      <c r="F210" s="152"/>
      <c r="G210" s="152"/>
      <c r="H210" s="49">
        <f>ПТО!G28</f>
        <v>0</v>
      </c>
      <c r="I210" s="50" t="s">
        <v>74</v>
      </c>
    </row>
    <row r="211" spans="1:9" hidden="1">
      <c r="A211" s="152">
        <f>ПТО!F29</f>
        <v>0</v>
      </c>
      <c r="B211" s="152"/>
      <c r="C211" s="152"/>
      <c r="D211" s="152"/>
      <c r="E211" s="152"/>
      <c r="F211" s="152"/>
      <c r="G211" s="152"/>
      <c r="H211" s="49">
        <f>ПТО!G29</f>
        <v>0</v>
      </c>
      <c r="I211" s="50" t="s">
        <v>74</v>
      </c>
    </row>
    <row r="212" spans="1:9" hidden="1">
      <c r="A212" s="152">
        <f>ПТО!F30</f>
        <v>0</v>
      </c>
      <c r="B212" s="152"/>
      <c r="C212" s="152"/>
      <c r="D212" s="152"/>
      <c r="E212" s="152"/>
      <c r="F212" s="152"/>
      <c r="G212" s="152"/>
      <c r="H212" s="49">
        <f>ПТО!G30</f>
        <v>0</v>
      </c>
      <c r="I212" s="50" t="s">
        <v>74</v>
      </c>
    </row>
    <row r="213" spans="1:9" hidden="1">
      <c r="A213" s="152">
        <f>ПТО!F31</f>
        <v>0</v>
      </c>
      <c r="B213" s="152"/>
      <c r="C213" s="152"/>
      <c r="D213" s="152"/>
      <c r="E213" s="152"/>
      <c r="F213" s="152"/>
      <c r="G213" s="152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290850</v>
      </c>
      <c r="I214" s="56" t="s">
        <v>77</v>
      </c>
    </row>
  </sheetData>
  <sheetProtection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A2" sqref="A2:F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187</v>
      </c>
      <c r="G1" s="101">
        <v>-105068.68</v>
      </c>
    </row>
    <row r="2" spans="1:12" ht="18.75" customHeight="1">
      <c r="A2" s="145" t="s">
        <v>72</v>
      </c>
      <c r="B2" s="146" t="s">
        <v>179</v>
      </c>
      <c r="C2" s="146">
        <v>1</v>
      </c>
      <c r="D2" s="147">
        <v>8100</v>
      </c>
      <c r="E2" s="148" t="s">
        <v>202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5" t="s">
        <v>178</v>
      </c>
      <c r="B3" s="149" t="s">
        <v>186</v>
      </c>
      <c r="C3" s="150">
        <v>12</v>
      </c>
      <c r="D3" s="151">
        <f>1750*12*0.55</f>
        <v>11550.000000000002</v>
      </c>
      <c r="E3" s="148" t="s">
        <v>203</v>
      </c>
      <c r="F3" s="30"/>
      <c r="G3" s="30"/>
      <c r="L3" s="33" t="str">
        <f t="shared" si="0"/>
        <v>ТР</v>
      </c>
    </row>
    <row r="4" spans="1:12" ht="18.75" customHeight="1">
      <c r="A4" s="141" t="s">
        <v>192</v>
      </c>
      <c r="B4" s="133" t="s">
        <v>193</v>
      </c>
      <c r="C4" s="134">
        <v>1</v>
      </c>
      <c r="D4" s="135">
        <v>1200</v>
      </c>
      <c r="E4" s="140" t="s">
        <v>194</v>
      </c>
      <c r="F4" s="30"/>
      <c r="G4" s="30"/>
      <c r="L4" s="33" t="str">
        <f t="shared" si="0"/>
        <v>ТР</v>
      </c>
    </row>
    <row r="5" spans="1:12" ht="18.75" customHeight="1">
      <c r="A5" s="138" t="s">
        <v>200</v>
      </c>
      <c r="B5" s="136" t="s">
        <v>193</v>
      </c>
      <c r="C5" s="136">
        <v>1</v>
      </c>
      <c r="D5" s="139">
        <v>21000</v>
      </c>
      <c r="E5" s="137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42" t="s">
        <v>196</v>
      </c>
      <c r="B6" s="136" t="s">
        <v>193</v>
      </c>
      <c r="C6" s="118">
        <v>1</v>
      </c>
      <c r="D6" s="139">
        <v>17749</v>
      </c>
      <c r="E6" s="137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38" t="s">
        <v>198</v>
      </c>
      <c r="B7" s="136" t="s">
        <v>193</v>
      </c>
      <c r="C7" s="118">
        <v>1</v>
      </c>
      <c r="D7" s="139">
        <v>400</v>
      </c>
      <c r="E7" s="137" t="s">
        <v>201</v>
      </c>
      <c r="F7" s="45"/>
      <c r="G7" s="45"/>
      <c r="K7" s="46"/>
      <c r="L7" s="33" t="str">
        <f t="shared" si="0"/>
        <v>ТР</v>
      </c>
    </row>
    <row r="8" spans="1:12" ht="18.75" customHeight="1">
      <c r="A8" s="122"/>
      <c r="B8" s="123"/>
      <c r="C8" s="124"/>
      <c r="D8" s="46"/>
      <c r="E8" s="125"/>
      <c r="F8" s="45"/>
      <c r="G8" s="45"/>
      <c r="K8" s="43"/>
      <c r="L8" s="33">
        <f t="shared" si="0"/>
        <v>0</v>
      </c>
    </row>
    <row r="9" spans="1:12">
      <c r="A9" s="120"/>
      <c r="B9" s="121"/>
      <c r="C9" s="117"/>
      <c r="D9" s="46"/>
      <c r="F9" s="44"/>
      <c r="G9" s="44"/>
      <c r="K9" s="43"/>
      <c r="L9" s="33">
        <f t="shared" si="0"/>
        <v>0</v>
      </c>
    </row>
    <row r="10" spans="1:12">
      <c r="A10" s="126"/>
      <c r="B10" s="127"/>
      <c r="C10" s="128"/>
      <c r="D10" s="129"/>
      <c r="E10" s="119"/>
      <c r="L10" s="33">
        <f t="shared" si="0"/>
        <v>0</v>
      </c>
    </row>
    <row r="11" spans="1:12" ht="94.5">
      <c r="A11" s="30"/>
      <c r="F11" s="111" t="s">
        <v>188</v>
      </c>
      <c r="G11" s="111"/>
      <c r="L11" s="33">
        <f t="shared" si="0"/>
        <v>0</v>
      </c>
    </row>
    <row r="12" spans="1:12" ht="31.5">
      <c r="A12" s="30"/>
      <c r="F12" s="130" t="s">
        <v>73</v>
      </c>
      <c r="G12" s="131">
        <v>1200</v>
      </c>
      <c r="L12" s="33">
        <f t="shared" si="0"/>
        <v>0</v>
      </c>
    </row>
    <row r="13" spans="1:12" ht="31.5">
      <c r="A13" s="30"/>
      <c r="F13" s="130" t="s">
        <v>75</v>
      </c>
      <c r="G13" s="131">
        <v>8100</v>
      </c>
      <c r="L13" s="33">
        <f t="shared" si="0"/>
        <v>0</v>
      </c>
    </row>
    <row r="14" spans="1:12" ht="31.5">
      <c r="A14" s="30"/>
      <c r="F14" s="130" t="s">
        <v>183</v>
      </c>
      <c r="G14" s="131">
        <v>11550</v>
      </c>
      <c r="L14" s="33">
        <f t="shared" si="0"/>
        <v>0</v>
      </c>
    </row>
    <row r="15" spans="1:12" ht="31.5">
      <c r="A15" s="30"/>
      <c r="F15" s="130" t="s">
        <v>184</v>
      </c>
      <c r="G15" s="131">
        <v>200000</v>
      </c>
      <c r="L15" s="33">
        <f t="shared" si="0"/>
        <v>0</v>
      </c>
    </row>
    <row r="16" spans="1:12" ht="15.75">
      <c r="A16" s="30"/>
      <c r="F16" s="132" t="s">
        <v>185</v>
      </c>
      <c r="G16" s="131">
        <v>70000</v>
      </c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38">
        <v>121882.68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121882.68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107117.16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107117.16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35974.199999999997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35974.199999999997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32215.68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32215.68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10738.56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10738.56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50202.720000000001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50202.720000000001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53961.24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53961.24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199</v>
      </c>
      <c r="B47" s="143">
        <f>(E47*3.48*1.23*6+E47*3.48*1.17*6)+(F47*0.075*13.45*6+F47*0.075*12.94*6)+(F47*0.075*16.35*6+F47*0.075*15.73*6)</f>
        <v>40645.233</v>
      </c>
      <c r="C47" s="144" t="s">
        <v>67</v>
      </c>
      <c r="D47" s="48">
        <v>12</v>
      </c>
      <c r="E47" s="143">
        <v>637.4</v>
      </c>
      <c r="F47" s="143">
        <v>330.8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40645.233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" zoomScale="85" zoomScaleNormal="85" workbookViewId="0">
      <selection activeCell="D33" sqref="D3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2237.1999999999998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574634.34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545945.77600000007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418693.84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127251.93599999999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521198.03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521198.03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521198.03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599382.08599999989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3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3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3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3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2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2"/>
      <c r="N26" s="63"/>
    </row>
    <row r="27" spans="1:15" ht="18.75" customHeight="1">
      <c r="A27" s="70" t="s">
        <v>105</v>
      </c>
      <c r="B27" s="75" t="s">
        <v>3</v>
      </c>
      <c r="C27" s="86">
        <v>34648.85</v>
      </c>
      <c r="D27" s="81" t="s">
        <v>59</v>
      </c>
      <c r="E27" s="64"/>
      <c r="F27" s="64"/>
      <c r="G27" s="64"/>
      <c r="H27" s="64"/>
      <c r="I27" s="64"/>
      <c r="J27" s="64"/>
      <c r="M27" s="182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2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2"/>
      <c r="N29" s="63"/>
    </row>
    <row r="30" spans="1:15" ht="18.75" customHeight="1">
      <c r="A30" s="70" t="s">
        <v>108</v>
      </c>
      <c r="B30" s="75" t="s">
        <v>17</v>
      </c>
      <c r="C30" s="86">
        <v>62278.48</v>
      </c>
      <c r="D30" s="81" t="s">
        <v>65</v>
      </c>
      <c r="E30" s="64"/>
      <c r="F30" s="64"/>
      <c r="G30" s="64"/>
      <c r="H30" s="64"/>
      <c r="I30" s="64"/>
      <c r="J30" s="64"/>
      <c r="M30" s="182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2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2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2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2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125877.56</v>
      </c>
      <c r="F37" s="94" t="s">
        <v>167</v>
      </c>
      <c r="G37" s="66"/>
      <c r="H37" s="66"/>
      <c r="I37" s="66"/>
      <c r="L37" s="63"/>
      <c r="M37" s="181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104897.97</v>
      </c>
      <c r="D38" s="94" t="s">
        <v>165</v>
      </c>
      <c r="E38" s="68"/>
      <c r="G38" s="67"/>
      <c r="H38" s="67"/>
      <c r="L38" s="63"/>
      <c r="M38" s="181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119672.49</v>
      </c>
      <c r="D39" s="94" t="s">
        <v>166</v>
      </c>
      <c r="E39" s="68"/>
      <c r="G39" s="67"/>
      <c r="H39" s="67"/>
      <c r="L39" s="63"/>
      <c r="M39" s="181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6205.0699999999924</v>
      </c>
      <c r="D40" s="80" t="s">
        <v>58</v>
      </c>
      <c r="E40" s="68"/>
      <c r="G40" s="67"/>
      <c r="H40" s="67"/>
      <c r="L40" s="63"/>
      <c r="M40" s="181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125877.56</v>
      </c>
      <c r="D41" s="80" t="s">
        <v>58</v>
      </c>
      <c r="E41" s="68"/>
      <c r="G41" s="67"/>
      <c r="H41" s="67"/>
      <c r="L41" s="63"/>
      <c r="M41" s="181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125877.56</v>
      </c>
      <c r="D42" s="80" t="s">
        <v>58</v>
      </c>
      <c r="E42" s="68"/>
      <c r="G42" s="67"/>
      <c r="H42" s="67"/>
      <c r="L42" s="63"/>
      <c r="M42" s="181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81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81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55870.59</v>
      </c>
      <c r="F45" s="94" t="s">
        <v>167</v>
      </c>
      <c r="G45" s="66"/>
      <c r="H45" s="66"/>
      <c r="L45" s="63"/>
      <c r="M45" s="181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4232.62</v>
      </c>
      <c r="D46" s="94" t="s">
        <v>168</v>
      </c>
      <c r="E46" s="68"/>
      <c r="G46" s="67"/>
      <c r="H46" s="67"/>
      <c r="L46" s="63"/>
      <c r="M46" s="181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49837.11</v>
      </c>
      <c r="D47" s="94" t="s">
        <v>166</v>
      </c>
      <c r="E47" s="68"/>
      <c r="G47" s="67"/>
      <c r="H47" s="67"/>
      <c r="L47" s="63"/>
      <c r="M47" s="181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6033.4799999999959</v>
      </c>
      <c r="D48" s="80" t="s">
        <v>58</v>
      </c>
      <c r="E48" s="68"/>
      <c r="G48" s="67"/>
      <c r="H48" s="67"/>
      <c r="L48" s="63"/>
      <c r="M48" s="181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55870.59</v>
      </c>
      <c r="D49" s="80" t="s">
        <v>58</v>
      </c>
      <c r="E49" s="68"/>
      <c r="G49" s="67"/>
      <c r="H49" s="67"/>
      <c r="L49" s="63"/>
      <c r="M49" s="181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55870.59</v>
      </c>
      <c r="D50" s="80" t="s">
        <v>58</v>
      </c>
      <c r="E50" s="68"/>
      <c r="G50" s="67"/>
      <c r="H50" s="67"/>
      <c r="L50" s="63"/>
      <c r="M50" s="181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81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81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108814.26</v>
      </c>
      <c r="F53" s="94" t="s">
        <v>167</v>
      </c>
      <c r="G53" s="66"/>
      <c r="H53" s="66"/>
      <c r="L53" s="63"/>
      <c r="M53" s="181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6783.93</v>
      </c>
      <c r="D54" s="94" t="s">
        <v>168</v>
      </c>
      <c r="E54" s="69"/>
      <c r="F54" s="89"/>
      <c r="G54" s="64"/>
      <c r="H54" s="64"/>
      <c r="L54" s="63"/>
      <c r="M54" s="181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96475.5</v>
      </c>
      <c r="D55" s="94" t="s">
        <v>166</v>
      </c>
      <c r="E55" s="69"/>
      <c r="G55" s="64"/>
      <c r="H55" s="64"/>
      <c r="L55" s="63"/>
      <c r="M55" s="181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12338.759999999995</v>
      </c>
      <c r="D56" s="80" t="s">
        <v>58</v>
      </c>
      <c r="E56" s="69"/>
      <c r="G56" s="64"/>
      <c r="H56" s="64"/>
      <c r="L56" s="63"/>
      <c r="M56" s="181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108814.26</v>
      </c>
      <c r="D57" s="80" t="s">
        <v>58</v>
      </c>
      <c r="E57" s="69"/>
      <c r="G57" s="64"/>
      <c r="H57" s="64"/>
      <c r="L57" s="63"/>
      <c r="M57" s="181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108814.26</v>
      </c>
      <c r="D58" s="80" t="s">
        <v>58</v>
      </c>
      <c r="E58" s="69"/>
      <c r="G58" s="64"/>
      <c r="H58" s="64"/>
      <c r="L58" s="63"/>
      <c r="M58" s="181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81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81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103314.15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192.08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100261.83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3052.3199999999924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103314.15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103314.15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54</v>
      </c>
      <c r="E69" s="95">
        <v>31273.08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>
        <v>2684.01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31273.08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31273.08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31273.08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0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0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2022-03-31T12:27:16Z</dcterms:modified>
</cp:coreProperties>
</file>