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1" i="2" l="1"/>
  <c r="H63" i="2"/>
  <c r="H64" i="2" s="1"/>
  <c r="H65" i="2" s="1"/>
  <c r="H59" i="2"/>
  <c r="H60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8" i="1"/>
  <c r="A104" i="1"/>
  <c r="G102" i="1"/>
  <c r="J101" i="1"/>
  <c r="J96" i="1"/>
  <c r="J95" i="1"/>
  <c r="A96" i="1"/>
  <c r="G94" i="1"/>
  <c r="F94" i="1"/>
  <c r="K94" i="1"/>
  <c r="A99" i="1" l="1"/>
  <c r="A114" i="1"/>
  <c r="A105" i="1"/>
  <c r="D102" i="1"/>
  <c r="A109" i="1"/>
  <c r="F102" i="1"/>
  <c r="A94" i="1"/>
  <c r="A97" i="1"/>
  <c r="D94" i="1"/>
  <c r="A98" i="1"/>
  <c r="A100" i="1"/>
  <c r="A95" i="1"/>
  <c r="A119" i="1"/>
  <c r="A123" i="1"/>
  <c r="A118" i="1"/>
  <c r="A106" i="1"/>
  <c r="A102" i="1"/>
  <c r="A103" i="1"/>
  <c r="D118" i="1"/>
  <c r="A120" i="1"/>
  <c r="A124" i="1"/>
  <c r="F118" i="1"/>
  <c r="A121" i="1"/>
  <c r="A125" i="1"/>
  <c r="A140" i="1"/>
  <c r="D134" i="1"/>
  <c r="A136" i="1"/>
  <c r="A110" i="1"/>
  <c r="A111" i="1"/>
  <c r="A115" i="1"/>
  <c r="F134" i="1"/>
  <c r="A137" i="1"/>
  <c r="A141" i="1"/>
  <c r="D110" i="1"/>
  <c r="A112" i="1"/>
  <c r="A116" i="1"/>
  <c r="A138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0" i="1" l="1"/>
  <c r="H177" i="1"/>
  <c r="F178" i="1"/>
  <c r="H172" i="1"/>
  <c r="F181" i="1"/>
  <c r="F187" i="1"/>
  <c r="F175" i="1"/>
  <c r="F177" i="1"/>
  <c r="F167" i="1"/>
  <c r="H176" i="1"/>
  <c r="F179" i="1"/>
  <c r="F165" i="1"/>
  <c r="F186" i="1"/>
  <c r="H164" i="1"/>
  <c r="F173" i="1"/>
  <c r="H167" i="1"/>
  <c r="F172" i="1"/>
  <c r="H168" i="1"/>
  <c r="H184" i="1"/>
  <c r="H178" i="1"/>
  <c r="H165" i="1"/>
  <c r="H171" i="1"/>
  <c r="H186" i="1"/>
  <c r="H179" i="1"/>
  <c r="F170" i="1"/>
  <c r="F171" i="1"/>
  <c r="F168" i="1"/>
  <c r="F176" i="1"/>
  <c r="H173" i="1"/>
  <c r="F180" i="1"/>
  <c r="H16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<sst xmlns="http://schemas.openxmlformats.org/spreadsheetml/2006/main" count="562" uniqueCount="208">
  <si>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</si>
  <si>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</si>
  <si>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</si>
  <si>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</si>
  <si>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</si>
  <si>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</si>
  <si>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</si>
  <si>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</si>
  <si>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</si>
  <si>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</si>
  <si>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</si>
  <si>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</si>
  <si>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</si>
  <si>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</si>
  <si>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</si>
  <si>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</si>
  <si>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</si>
  <si>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</si>
  <si>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</si>
  <si>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</si>
  <si>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</si>
  <si>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</si>
  <si>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</si>
  <si>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</si>
  <si>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</si>
  <si>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</si>
  <si>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</si>
  <si>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</si>
  <si>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</si>
  <si>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</si>
  <si>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</si>
  <si>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</si>
  <si>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</si>
  <si>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</si>
  <si>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</si>
  <si>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</si>
  <si>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</si>
  <si>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</si>
  <si>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</si>
  <si>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</si>
  <si>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</si>
  <si>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</si>
  <si>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</si>
  <si>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</si>
  <si>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</si>
  <si>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</si>
  <si>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</si>
  <si>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</si>
  <si>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</si>
  <si>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</si>
  <si>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</si>
  <si>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</si>
  <si>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</si>
  <si>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</si>
  <si>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</si>
  <si>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</si>
  <si>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</si>
  <si>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</si>
  <si>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</si>
  <si>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</si>
  <si>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</si>
  <si>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</si>
  <si>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</si>
  <si>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</si>
  <si>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</si>
  <si>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</si>
  <si>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</si>
  <si>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</si>
  <si>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</si>
  <si>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</si>
  <si>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</si>
  <si>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</si>
  <si>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</si>
  <si>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</si>
  <si>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</si>
  <si>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</si>
  <si>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</si>
  <si>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</si>
  <si>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</si>
  <si>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</si>
  <si>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</si>
  <si>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</si>
  <si>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</si>
  <si>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</si>
  <si>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</si>
  <si>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</si>
  <si>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</si>
  <si>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</si>
  <si>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</si>
  <si>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</si>
  <si>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</si>
  <si>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</si>
  <si>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</si>
  <si>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</si>
  <si>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</si>
  <si>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</si>
  <si>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</si>
  <si>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</si>
  <si>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</si>
  <si>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</si>
  <si>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</si>
  <si>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</si>
  <si>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</si>
  <si>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</si>
  <si>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</si>
  <si>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</si>
  <si>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</si>
  <si>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</si>
  <si>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</si>
  <si>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</si>
  <si>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</si>
  <si>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</si>
  <si>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</si>
  <si>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</si>
  <si>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</si>
  <si>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</si>
  <si>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</si>
  <si>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</si>
  <si>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</si>
  <si>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</si>
  <si>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</si>
  <si>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</si>
  <si>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</si>
  <si>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</si>
  <si>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</si>
  <si>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</si>
  <si>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</si>
  <si>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</si>
  <si>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</si>
  <si>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</si>
  <si>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</si>
  <si>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</si>
  <si>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</si>
  <si>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</si>
  <si>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</si>
  <si>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</si>
  <si>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</si>
  <si>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</si>
  <si>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</si>
  <si>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</si>
  <si>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</si>
  <si>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</si>
  <si>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</si>
  <si>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</si>
  <si>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</si>
  <si>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</si>
  <si>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</si>
  <si>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</si>
  <si>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</si>
  <si>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</si>
  <si>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</si>
  <si>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</si>
  <si>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</si>
  <si>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</si>
  <si>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</si>
  <si>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</si>
  <si>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</si>
  <si>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</si>
  <si>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</si>
  <si>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</si>
  <si>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</si>
  <si>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</si>
  <si>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</si>
  <si>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</si>
  <si>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</si>
  <si>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</si>
  <si>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</si>
  <si>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</si>
  <si>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</si>
  <si>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</si>
  <si>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</si>
  <si>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</si>
  <si>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</si>
  <si>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</si>
  <si>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Касьянова, 24</t>
  </si>
  <si>
    <t>разово</t>
  </si>
  <si>
    <t>площадь дома</t>
  </si>
  <si>
    <t>Отчет об исполнении договора управления многоквартирного дома 
Касьянова, 24 в части текущего ремонта</t>
  </si>
  <si>
    <t xml:space="preserve">  - благоустройство придомовой территории</t>
  </si>
  <si>
    <t>Приобретение и установка ОДПУ электрической энергии.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</si>
  <si>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</si>
  <si>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</si>
  <si>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</si>
  <si>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</si>
  <si>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</si>
  <si>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31.03.2021, Решение</t>
  </si>
  <si>
    <t>АВР 2/21 от 26.07.2021, Решение, счет №03622 от 07.07.2021</t>
  </si>
  <si>
    <t>Замена приварных шаровых кранов на ИТП (2 шт.).</t>
  </si>
  <si>
    <t>Ремонт электромагнитного замка системы домофон.</t>
  </si>
  <si>
    <t>АВР 3/21 от 01.06.2021, счет №136 от 01.06.2021</t>
  </si>
  <si>
    <t>Приобретение и установка фотоэлементов для шлагбаума.</t>
  </si>
  <si>
    <t>АВР 5/21 от 17.11.2021, Решение, счет №171121 от 17.11.2021</t>
  </si>
  <si>
    <t>Приобретение и установка информационного стенда на детскую площадку.</t>
  </si>
  <si>
    <t>АВР 4/21 от 30.10.2021</t>
  </si>
  <si>
    <t>АВР 6/21 от 15.12.2021, Решение, счет №423 от 20.10.2021</t>
  </si>
  <si>
    <t>Модернизация шлагбаума (монтаж вызывной панели).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</si>
  <si>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</si>
  <si>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</si>
  <si>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</si>
  <si>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</si>
  <si>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</si>
  <si>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</si>
  <si>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</si>
  <si>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</si>
  <si>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входной двери</t>
  </si>
  <si>
    <t xml:space="preserve">  -  изготовление и установка перил ограждений на крыльцах</t>
  </si>
  <si>
    <t xml:space="preserve">  -  ремонт отмостки</t>
  </si>
  <si>
    <t xml:space="preserve">  -  изготовление и установка скамейки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</si>
</sst>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1" fillId="0" borderId="0" xfId="5" applyFill="1" applyBorder="1" applyAlignment="1">
      <alignment horizontal="center"/>
    </xf>
    <xf numFmtId="4" fontId="11" fillId="0" borderId="0" xfId="5" applyNumberFormat="1" applyFill="1" applyBorder="1" applyAlignment="1">
      <alignment vertical="center"/>
    </xf>
    <xf numFmtId="4" fontId="0" fillId="0" borderId="0" xfId="0" applyNumberFormat="1" applyFill="1"/>
    <xf numFmtId="0" fontId="0" fillId="0" borderId="0" xfId="0" applyFill="1"/>
    <xf numFmtId="0" fontId="11" fillId="0" borderId="0" xfId="5" applyNumberFormat="1" applyFill="1" applyBorder="1" applyAlignment="1">
      <alignment horizontal="center"/>
    </xf>
    <xf numFmtId="0" fontId="8" fillId="0" borderId="0" xfId="2" applyFont="1" applyFill="1" applyBorder="1" applyAlignment="1"/>
    <xf numFmtId="0" fontId="9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12" fillId="0" borderId="0" xfId="4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3" fillId="0" borderId="0" xfId="5" applyFont="1" applyFill="1" applyBorder="1" applyAlignment="1"/>
    <xf numFmtId="0" fontId="0" fillId="0" borderId="0" xfId="0" applyFill="1"/>
    <xf numFmtId="4" fontId="0" fillId="0" borderId="0" xfId="0" applyNumberFormat="1" applyFill="1"/>
    <xf numFmtId="0" fontId="2" fillId="0" borderId="0" xfId="15" applyFont="1" applyFill="1" applyBorder="1" applyAlignment="1"/>
    <xf numFmtId="0" fontId="2" fillId="0" borderId="0" xfId="15" applyFont="1" applyFill="1" applyBorder="1" applyAlignment="1">
      <alignment horizontal="center"/>
    </xf>
    <xf numFmtId="0" fontId="2" fillId="0" borderId="0" xfId="15" applyNumberFormat="1" applyFill="1" applyBorder="1" applyAlignment="1">
      <alignment horizontal="center"/>
    </xf>
    <xf numFmtId="4" fontId="2" fillId="0" borderId="0" xfId="15" applyNumberFormat="1" applyFill="1" applyBorder="1" applyAlignment="1">
      <alignment vertical="center"/>
    </xf>
    <xf numFmtId="0" fontId="3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0" xfId="7" applyNumberFormat="1" applyFill="1" applyBorder="1" applyAlignment="1">
      <alignment horizontal="center"/>
    </xf>
    <xf numFmtId="4" fontId="4" fillId="0" borderId="0" xfId="7" applyNumberFormat="1" applyFill="1" applyBorder="1" applyAlignment="1">
      <alignment vertical="center"/>
    </xf>
    <xf numFmtId="0" fontId="1" fillId="0" borderId="0" xfId="7" applyFont="1" applyFill="1" applyBorder="1" applyAlignment="1"/>
    <xf numFmtId="4" fontId="0" fillId="0" borderId="0" xfId="0" applyNumberFormat="1" applyBorder="1" applyAlignment="1">
      <alignment horizontal="center"/>
    </xf>
    <xf numFmtId="4" fontId="27" fillId="3" borderId="0" xfId="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8" fillId="0" borderId="0" xfId="6" applyFont="1"/>
    <xf numFmtId="4" fontId="18" fillId="0" borderId="0" xfId="6" applyNumberFormat="1" applyFont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12"/>
    <cellStyle name="Обычный 2 4" xfId="17"/>
    <cellStyle name="Обычный 2 5" xfId="8"/>
    <cellStyle name="Обычный 3" xfId="2"/>
    <cellStyle name="Обычный 3 2" xfId="13"/>
    <cellStyle name="Обычный 3 3" xfId="18"/>
    <cellStyle name="Обычный 3 4" xfId="9"/>
    <cellStyle name="Обычный 4" xfId="4"/>
    <cellStyle name="Обычный 4 2" xfId="14"/>
    <cellStyle name="Обычный 4 3" xfId="19"/>
    <cellStyle name="Обычный 4 4" xfId="10"/>
    <cellStyle name="Обычный 5" xfId="5"/>
    <cellStyle name="Обычный 5 2" xfId="7"/>
    <cellStyle name="Обычный 5 2 2" xfId="15"/>
    <cellStyle name="Обычный 5 3" xfId="20"/>
    <cellStyle name="Обычный 5 4" xfId="11"/>
    <cellStyle name="Обычный 6" xfId="6"/>
    <cellStyle name="Обычный 6 2" xfId="21"/>
    <cellStyle name="Обычный 6 3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6" t="s">
        <v>174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49795.53</v>
      </c>
      <c r="K8" s="109"/>
      <c r="L8" s="177"/>
      <c r="M8" s="109"/>
      <c r="N8" s="109"/>
      <c r="O8" s="70" t="s">
        <v>81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77"/>
      <c r="M9" s="109"/>
      <c r="N9" s="109"/>
      <c r="O9" s="70" t="s">
        <v>82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0</v>
      </c>
      <c r="K10" s="109"/>
      <c r="L10" s="177"/>
      <c r="M10" s="109"/>
      <c r="N10" s="109"/>
      <c r="O10" s="70" t="s">
        <v>83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463589.74800000002</v>
      </c>
      <c r="K11" s="109"/>
      <c r="L11" s="177"/>
      <c r="M11" s="109"/>
      <c r="N11" s="109"/>
      <c r="O11" s="70" t="s">
        <v>84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248240.42</v>
      </c>
      <c r="K12" s="109"/>
      <c r="L12" s="177"/>
      <c r="M12" s="109"/>
      <c r="N12" s="109"/>
      <c r="O12" s="70" t="s">
        <v>85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103595.20799999998</v>
      </c>
      <c r="K13" s="109"/>
      <c r="L13" s="177"/>
      <c r="M13" s="109"/>
      <c r="N13" s="109"/>
      <c r="O13" s="70" t="s">
        <v>86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111754.12</v>
      </c>
      <c r="K14" s="109"/>
      <c r="L14" s="177"/>
      <c r="M14" s="109"/>
      <c r="N14" s="109"/>
      <c r="O14" s="70" t="s">
        <v>87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432987.11</v>
      </c>
      <c r="K15" s="109"/>
      <c r="L15" s="177"/>
      <c r="M15" s="109"/>
      <c r="N15" s="109"/>
      <c r="O15" s="70" t="s">
        <v>88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432987.11</v>
      </c>
      <c r="K16" s="109"/>
      <c r="L16" s="177"/>
      <c r="M16" s="109"/>
      <c r="N16" s="109"/>
      <c r="O16" s="70" t="s">
        <v>89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77"/>
      <c r="M17" s="109"/>
      <c r="N17" s="109"/>
      <c r="O17" s="70" t="s">
        <v>90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77"/>
      <c r="M18" s="109"/>
      <c r="N18" s="109"/>
      <c r="O18" s="70" t="s">
        <v>91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77"/>
      <c r="M19" s="109"/>
      <c r="N19" s="109"/>
      <c r="O19" s="70" t="s">
        <v>92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77"/>
      <c r="M20" s="109"/>
      <c r="N20" s="109"/>
      <c r="O20" s="70" t="s">
        <v>93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432987.11</v>
      </c>
      <c r="K21" s="109"/>
      <c r="L21" s="177"/>
      <c r="M21" s="109"/>
      <c r="N21" s="109"/>
      <c r="O21" s="70" t="s">
        <v>94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19192.891999999993</v>
      </c>
      <c r="K22" s="109"/>
      <c r="L22" s="177"/>
      <c r="M22" s="109"/>
      <c r="N22" s="109"/>
      <c r="O22" s="70" t="s">
        <v>95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77"/>
      <c r="M23" s="109"/>
      <c r="N23" s="109"/>
      <c r="O23" s="70" t="s">
        <v>96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0</v>
      </c>
      <c r="K24" s="109"/>
      <c r="L24" s="17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5">
        <f>VLOOKUP(A28,ПТО!$A$39:$D$53,2,FALSE)</f>
        <v>70365.36</v>
      </c>
      <c r="G28" s="155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4">
        <f>ПТО!A40</f>
        <v>0</v>
      </c>
      <c r="B29" s="154"/>
      <c r="C29" s="154"/>
      <c r="D29" s="154"/>
      <c r="E29" s="154"/>
      <c r="F29" s="155" t="e">
        <f>VLOOKUP(A29,ПТО!$A$39:$D$53,2,FALSE)</f>
        <v>#N/A</v>
      </c>
      <c r="G29" s="155"/>
      <c r="H29" s="42" t="e">
        <f>VLOOKUP(A29,ПТО!$A$39:$D$53,3,FALSE)</f>
        <v>#N/A</v>
      </c>
      <c r="I29" s="156" t="e">
        <f>VLOOKUP(A29,ПТО!$A$39:$D$53,4,FALSE)</f>
        <v>#N/A</v>
      </c>
      <c r="J29" s="156"/>
      <c r="K29" s="109"/>
      <c r="L29" s="178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5">
        <f>VLOOKUP(A30,ПТО!$A$39:$D$53,2,FALSE)</f>
        <v>63639.240000000005</v>
      </c>
      <c r="G30" s="155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5">
        <f>VLOOKUP(A31,ПТО!$A$39:$D$53,2,FALSE)</f>
        <v>29750.04</v>
      </c>
      <c r="G31" s="155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5">
        <f>VLOOKUP(A33,ПТО!$A$39:$D$53,2,FALSE)</f>
        <v>21213.119999999999</v>
      </c>
      <c r="G33" s="155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5">
        <f>VLOOKUP(A34,ПТО!$A$39:$D$53,2,FALSE)</f>
        <v>56395.680000000008</v>
      </c>
      <c r="G34" s="155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4">
        <f>ПТО!A46</f>
        <v>0</v>
      </c>
      <c r="B35" s="154"/>
      <c r="C35" s="154"/>
      <c r="D35" s="154"/>
      <c r="E35" s="154"/>
      <c r="F35" s="155" t="e">
        <f>VLOOKUP(A35,ПТО!$A$39:$D$53,2,FALSE)</f>
        <v>#N/A</v>
      </c>
      <c r="G35" s="155"/>
      <c r="H35" s="42" t="e">
        <f>VLOOKUP(A35,ПТО!$A$39:$D$53,3,FALSE)</f>
        <v>#N/A</v>
      </c>
      <c r="I35" s="156" t="e">
        <f>VLOOKUP(A35,ПТО!$A$39:$D$53,4,FALSE)</f>
        <v>#N/A</v>
      </c>
      <c r="J35" s="156"/>
      <c r="K35" s="109"/>
      <c r="L35" s="178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54" t="str">
        <f>ПТО!A47</f>
        <v>Коммунальные ресурсы на содержание общего имущества</v>
      </c>
      <c r="B36" s="154"/>
      <c r="C36" s="154"/>
      <c r="D36" s="154"/>
      <c r="E36" s="154"/>
      <c r="F36" s="155">
        <f>VLOOKUP(A36,ПТО!$A$39:$D$53,2,FALSE)</f>
        <v>13236.550200000001</v>
      </c>
      <c r="G36" s="155"/>
      <c r="H36" s="42" t="str">
        <f>VLOOKUP(A36,ПТО!$A$39:$D$53,3,FALSE)</f>
        <v>Ежемесячно</v>
      </c>
      <c r="I36" s="156">
        <f>VLOOKUP(A36,ПТО!$A$39:$D$53,4,FALSE)</f>
        <v>12</v>
      </c>
      <c r="J36" s="156"/>
      <c r="K36" s="109"/>
      <c r="L36" s="178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Приобретение и установка ОДПУ электрической энергии.</v>
      </c>
      <c r="B43" s="154"/>
      <c r="C43" s="154"/>
      <c r="D43" s="154"/>
      <c r="E43" s="154"/>
      <c r="F43" s="155">
        <f>VLOOKUP(A43,ПТО!$A$2:$D$31,4,FALSE)</f>
        <v>14147</v>
      </c>
      <c r="G43" s="155"/>
      <c r="H43" s="19" t="str">
        <f>VLOOKUP(A43,ПТО!$A$2:$D$31,2,FALSE)</f>
        <v>разово</v>
      </c>
      <c r="I43" s="156">
        <f>VLOOKUP(A43,ПТО!$A$2:$D$31,3,FALSE)</f>
        <v>1</v>
      </c>
      <c r="J43" s="156"/>
      <c r="K43" s="109"/>
      <c r="L43" s="178"/>
      <c r="M43" s="115"/>
      <c r="N43" s="109"/>
      <c r="O43" s="23" t="str">
        <f t="shared" si="1"/>
        <v>Приобретение и установка ОДПУ электрической энергии.</v>
      </c>
      <c r="R43" s="22" t="s">
        <v>72</v>
      </c>
    </row>
    <row r="44" spans="1:18" ht="51" customHeight="1" outlineLevel="1">
      <c r="A44" s="154" t="str">
        <f>ПТО!A3</f>
        <v>Замена приварных шаровых кранов на ИТП (2 шт.).</v>
      </c>
      <c r="B44" s="154"/>
      <c r="C44" s="154"/>
      <c r="D44" s="154"/>
      <c r="E44" s="154"/>
      <c r="F44" s="155">
        <f>VLOOKUP(A44,ПТО!$A$2:$D$31,4,FALSE)</f>
        <v>3208</v>
      </c>
      <c r="G44" s="155"/>
      <c r="H44" s="25" t="str">
        <f>VLOOKUP(A44,ПТО!$A$2:$D$31,2,FALSE)</f>
        <v>разово</v>
      </c>
      <c r="I44" s="156">
        <f>VLOOKUP(A44,ПТО!$A$2:$D$31,3,FALSE)</f>
        <v>1</v>
      </c>
      <c r="J44" s="156"/>
      <c r="K44" s="109"/>
      <c r="L44" s="178"/>
      <c r="M44" s="115"/>
      <c r="N44" s="109"/>
      <c r="O44" s="23" t="str">
        <f t="shared" si="1"/>
        <v>Замена приварных шаровых кранов на ИТП (2 шт.).</v>
      </c>
      <c r="R44" s="22" t="s">
        <v>72</v>
      </c>
    </row>
    <row r="45" spans="1:18" ht="51" customHeight="1" outlineLevel="1">
      <c r="A45" s="154" t="str">
        <f>ПТО!A4</f>
        <v>Ремонт электромагнитного замка системы домофон.</v>
      </c>
      <c r="B45" s="154"/>
      <c r="C45" s="154"/>
      <c r="D45" s="154"/>
      <c r="E45" s="154"/>
      <c r="F45" s="155">
        <f>VLOOKUP(A45,ПТО!$A$2:$D$31,4,FALSE)</f>
        <v>1000</v>
      </c>
      <c r="G45" s="155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8"/>
      <c r="M45" s="115"/>
      <c r="N45" s="109"/>
      <c r="O45" s="23" t="str">
        <f t="shared" si="1"/>
        <v>Ремонт электромагнитного замка системы домофон.</v>
      </c>
      <c r="R45" s="22" t="s">
        <v>72</v>
      </c>
    </row>
    <row r="46" spans="1:18" ht="51" customHeight="1" outlineLevel="1">
      <c r="A46" s="154" t="str">
        <f>ПТО!A5</f>
        <v>Приобретение и установка информационного стенда на детскую площадку.</v>
      </c>
      <c r="B46" s="154"/>
      <c r="C46" s="154"/>
      <c r="D46" s="154"/>
      <c r="E46" s="154"/>
      <c r="F46" s="155">
        <f>VLOOKUP(A46,ПТО!$A$2:$D$31,4,FALSE)</f>
        <v>250</v>
      </c>
      <c r="G46" s="155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8"/>
      <c r="M46" s="115"/>
      <c r="N46" s="109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54" t="str">
        <f>ПТО!A6</f>
        <v>Приобретение и установка фотоэлементов для шлагбаума.</v>
      </c>
      <c r="B47" s="154"/>
      <c r="C47" s="154"/>
      <c r="D47" s="154"/>
      <c r="E47" s="154"/>
      <c r="F47" s="155">
        <f>VLOOKUP(A47,ПТО!$A$2:$D$31,4,FALSE)</f>
        <v>996</v>
      </c>
      <c r="G47" s="155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8"/>
      <c r="M47" s="115"/>
      <c r="N47" s="109"/>
      <c r="O47" s="23" t="str">
        <f t="shared" si="1"/>
        <v>Приобретение и установка фотоэлементов для шлагбаума.</v>
      </c>
      <c r="R47" s="22" t="s">
        <v>72</v>
      </c>
    </row>
    <row r="48" spans="1:18" ht="51" customHeight="1" outlineLevel="1">
      <c r="A48" s="154" t="str">
        <f>ПТО!A7</f>
        <v>Модернизация шлагбаума (монтаж вызывной панели).</v>
      </c>
      <c r="B48" s="154"/>
      <c r="C48" s="154"/>
      <c r="D48" s="154"/>
      <c r="E48" s="154"/>
      <c r="F48" s="155">
        <f>VLOOKUP(A48,ПТО!$A$2:$D$31,4,FALSE)</f>
        <v>8216</v>
      </c>
      <c r="G48" s="155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8"/>
      <c r="M48" s="115"/>
      <c r="N48" s="109"/>
      <c r="O48" s="23" t="str">
        <f t="shared" si="1"/>
        <v>Модернизация шлагбаума (монтаж вызывной панели).</v>
      </c>
      <c r="R48" s="22" t="s">
        <v>72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6" t="e">
        <f>VLOOKUP(A49,ПТО!$A$2:$D$31,3,FALSE)</f>
        <v>#N/A</v>
      </c>
      <c r="J49" s="156"/>
      <c r="K49" s="109"/>
      <c r="L49" s="178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6" t="e">
        <f>VLOOKUP(A50,ПТО!$A$2:$D$31,3,FALSE)</f>
        <v>#N/A</v>
      </c>
      <c r="J50" s="156"/>
      <c r="K50" s="109"/>
      <c r="L50" s="178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6" t="e">
        <f>VLOOKUP(A51,ПТО!$A$2:$D$31,3,FALSE)</f>
        <v>#N/A</v>
      </c>
      <c r="J51" s="156"/>
      <c r="K51" s="109"/>
      <c r="L51" s="178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8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8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8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8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8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5"/>
      <c r="L71" s="17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9"/>
      <c r="L75" s="161"/>
      <c r="M75" s="109"/>
      <c r="N75" s="109"/>
      <c r="O75" s="70" t="s">
        <v>98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9"/>
      <c r="L76" s="161"/>
      <c r="M76" s="109"/>
      <c r="N76" s="109"/>
      <c r="O76" s="70" t="s">
        <v>99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9"/>
      <c r="L77" s="161"/>
      <c r="M77" s="109"/>
      <c r="N77" s="109"/>
      <c r="O77" s="70" t="s">
        <v>100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7">
        <f>VLOOKUP(O78,АО,3,FALSE)</f>
        <v>0</v>
      </c>
      <c r="K78" s="109"/>
      <c r="L78" s="161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9"/>
      <c r="M81" s="109"/>
      <c r="N81" s="109"/>
      <c r="O81" s="70" t="s">
        <v>102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9"/>
      <c r="M82" s="109"/>
      <c r="N82" s="109"/>
      <c r="O82" s="70" t="s">
        <v>103</v>
      </c>
    </row>
    <row r="83" spans="1:15" outlineLevel="1">
      <c r="A83" s="169" t="s">
        <v>4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26518.11</v>
      </c>
      <c r="K83" s="109"/>
      <c r="L83" s="179"/>
      <c r="M83" s="109"/>
      <c r="N83" s="109"/>
      <c r="O83" s="70" t="s">
        <v>104</v>
      </c>
    </row>
    <row r="84" spans="1:15" outlineLevel="1">
      <c r="A84" s="169" t="s">
        <v>16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79"/>
      <c r="M84" s="109"/>
      <c r="N84" s="109"/>
      <c r="O84" s="70" t="s">
        <v>105</v>
      </c>
    </row>
    <row r="85" spans="1:15" outlineLevel="1">
      <c r="A85" s="169" t="s">
        <v>17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79"/>
      <c r="M85" s="109"/>
      <c r="N85" s="109"/>
      <c r="O85" s="70" t="s">
        <v>106</v>
      </c>
    </row>
    <row r="86" spans="1:15" outlineLevel="1">
      <c r="A86" s="169" t="s">
        <v>18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37239.83</v>
      </c>
      <c r="K86" s="109"/>
      <c r="L86" s="179"/>
      <c r="M86" s="109"/>
      <c r="N86" s="109"/>
      <c r="O86" s="70" t="s">
        <v>107</v>
      </c>
    </row>
    <row r="87" spans="1:15" ht="18.75" customHeight="1" outlineLevel="1">
      <c r="A87" s="169" t="s">
        <v>27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79"/>
      <c r="M87" s="109"/>
      <c r="N87" s="109"/>
      <c r="O87" s="70" t="s">
        <v>108</v>
      </c>
    </row>
    <row r="88" spans="1:15" ht="18.75" customHeight="1" outlineLevel="1">
      <c r="A88" s="169" t="s">
        <v>28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79"/>
      <c r="M88" s="109"/>
      <c r="N88" s="109"/>
      <c r="O88" s="70" t="s">
        <v>109</v>
      </c>
    </row>
    <row r="89" spans="1:15" ht="18.75" customHeight="1" outlineLevel="1">
      <c r="A89" s="169" t="s">
        <v>29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79"/>
      <c r="M89" s="109"/>
      <c r="N89" s="109"/>
      <c r="O89" s="70" t="s">
        <v>110</v>
      </c>
    </row>
    <row r="90" spans="1:15" ht="18.75" customHeight="1" outlineLevel="1">
      <c r="A90" s="169" t="s">
        <v>30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7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3" t="s">
        <v>48</v>
      </c>
      <c r="B93" s="163"/>
      <c r="C93" s="163"/>
      <c r="D93" s="166" t="s">
        <v>49</v>
      </c>
      <c r="E93" s="166"/>
      <c r="F93" s="10" t="s">
        <v>50</v>
      </c>
      <c r="G93" s="163" t="s">
        <v>51</v>
      </c>
      <c r="H93" s="163"/>
      <c r="I93" s="163"/>
      <c r="J93" s="163"/>
      <c r="K93" s="109"/>
      <c r="L93" s="109"/>
      <c r="M93" s="109"/>
      <c r="N93" s="109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4">
        <f>VLOOKUP("эл",АО,5,FALSE)</f>
        <v>8568.07</v>
      </c>
      <c r="H94" s="165"/>
      <c r="I94" s="165"/>
      <c r="J94" s="165"/>
      <c r="K94" s="1" t="str">
        <f>VLOOKUP("эл",АО,2,FALSE)</f>
        <v>Электроснабжение</v>
      </c>
      <c r="L94" s="180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7140.06</v>
      </c>
      <c r="L95" s="180"/>
      <c r="O95" s="1" t="s">
        <v>112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7982.81</v>
      </c>
      <c r="L96" s="180"/>
      <c r="O96" s="1" t="s">
        <v>113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585.25999999999931</v>
      </c>
      <c r="L97" s="180"/>
      <c r="O97" s="1" t="s">
        <v>114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8568.07</v>
      </c>
      <c r="L98" s="180"/>
      <c r="O98" s="1" t="s">
        <v>115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8568.07</v>
      </c>
      <c r="L99" s="180"/>
      <c r="O99" s="1" t="s">
        <v>116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80"/>
      <c r="O100" s="1" t="s">
        <v>117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80"/>
      <c r="O101" s="1" t="s">
        <v>118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4">
        <f>VLOOKUP("хвс",АО,5,FALSE)</f>
        <v>41442.75</v>
      </c>
      <c r="H102" s="165"/>
      <c r="I102" s="165"/>
      <c r="J102" s="165"/>
      <c r="L102" s="180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3139.6</v>
      </c>
      <c r="L103" s="180"/>
      <c r="O103" s="1" t="s">
        <v>121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38430.980000000003</v>
      </c>
      <c r="L104" s="180"/>
      <c r="O104" s="1" t="s">
        <v>122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3011.7699999999968</v>
      </c>
      <c r="L105" s="180"/>
      <c r="O105" s="1" t="s">
        <v>123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41442.75</v>
      </c>
      <c r="L106" s="180"/>
      <c r="O106" s="1" t="s">
        <v>124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41442.75</v>
      </c>
      <c r="L107" s="180"/>
      <c r="O107" s="1" t="s">
        <v>125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80"/>
      <c r="O108" s="1" t="s">
        <v>126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80"/>
      <c r="O109" s="1" t="s">
        <v>127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4">
        <f>VLOOKUP("воо",АО,5,FALSE)</f>
        <v>84731.13</v>
      </c>
      <c r="H110" s="165"/>
      <c r="I110" s="165"/>
      <c r="J110" s="165"/>
      <c r="L110" s="180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5282.49</v>
      </c>
      <c r="L111" s="180"/>
      <c r="O111" s="1" t="s">
        <v>129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79636.27</v>
      </c>
      <c r="L112" s="180"/>
      <c r="O112" s="1" t="s">
        <v>130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5094.8600000000006</v>
      </c>
      <c r="L113" s="180"/>
      <c r="O113" s="1" t="s">
        <v>131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84731.13</v>
      </c>
      <c r="L114" s="180"/>
      <c r="O114" s="1" t="s">
        <v>132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84731.13</v>
      </c>
      <c r="L115" s="180"/>
      <c r="O115" s="1" t="s">
        <v>133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80"/>
      <c r="O116" s="1" t="s">
        <v>134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80"/>
      <c r="O117" s="1" t="s">
        <v>135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5">
        <f>IF(VLOOKUP("тко",АО,3,FALSE)&gt;0,VLOOKUP("тко",АО,3,FALSE),0)</f>
        <v>0</v>
      </c>
      <c r="E118" s="165"/>
      <c r="F118" s="13">
        <f>IF(VLOOKUP("тко",АО,3,FALSE)&gt;0,VLOOKUP("тко",АО,4,FALSE),0)</f>
        <v>0</v>
      </c>
      <c r="G118" s="164">
        <f>VLOOKUP("тко",АО,5,FALSE)</f>
        <v>0</v>
      </c>
      <c r="H118" s="165"/>
      <c r="I118" s="165"/>
      <c r="J118" s="165"/>
      <c r="L118" s="47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67" t="str">
        <f>IF(VLOOKUP("гвс",АО,3,FALSE)&gt;0,"Горячее водоснабжение",0)</f>
        <v>Горячее водоснабжение</v>
      </c>
      <c r="B126" s="167"/>
      <c r="C126" s="167"/>
      <c r="D126" s="165" t="str">
        <f>IF(VLOOKUP("гвс",АО,3,FALSE)&gt;0,VLOOKUP("гвс",АО,3,FALSE),0)</f>
        <v>Предоставляется</v>
      </c>
      <c r="E126" s="165"/>
      <c r="F126" s="13" t="str">
        <f>IF(VLOOKUP("гвс",АО,3,FALSE)&gt;0,VLOOKUP("гвс",АО,4,FALSE),0)</f>
        <v>куб.м.</v>
      </c>
      <c r="G126" s="164">
        <f>VLOOKUP("гвс",АО,5,FALSE)</f>
        <v>24844.03</v>
      </c>
      <c r="H126" s="165"/>
      <c r="I126" s="165"/>
      <c r="J126" s="165"/>
      <c r="L126" s="47"/>
    </row>
    <row r="127" spans="1:15" ht="32.25" customHeight="1" outlineLevel="2">
      <c r="A127" s="162" t="str">
        <f t="shared" ref="A127:A133" si="10">IF(VLOOKUP("гвс",АО,3,FALSE)&gt;0,VLOOKUP(O127,АО,2,FALSE),0)</f>
        <v>Общий объем потребления, нат. показ.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1882.12</v>
      </c>
      <c r="L127" s="47"/>
      <c r="O127" s="1" t="s">
        <v>145</v>
      </c>
    </row>
    <row r="128" spans="1:15" ht="32.25" customHeight="1" outlineLevel="2">
      <c r="A128" s="162" t="str">
        <f t="shared" si="10"/>
        <v>Оплачено потребителями, руб.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22814.2</v>
      </c>
      <c r="L128" s="47"/>
      <c r="O128" s="1" t="s">
        <v>146</v>
      </c>
    </row>
    <row r="129" spans="1:15" ht="32.25" customHeight="1" outlineLevel="2">
      <c r="A129" s="162" t="str">
        <f t="shared" si="10"/>
        <v>Задолженность потребителей, руб.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2029.8299999999981</v>
      </c>
      <c r="L129" s="47"/>
      <c r="O129" s="1" t="s">
        <v>147</v>
      </c>
    </row>
    <row r="130" spans="1:15" ht="32.25" customHeight="1" outlineLevel="2">
      <c r="A130" s="162" t="str">
        <f t="shared" si="10"/>
        <v>Начислено поставщиком (поставщиками) коммунального ресурса, руб.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24844.03</v>
      </c>
      <c r="L130" s="47"/>
      <c r="O130" s="1" t="s">
        <v>148</v>
      </c>
    </row>
    <row r="131" spans="1:15" ht="32.25" customHeight="1" outlineLevel="2">
      <c r="A131" s="162" t="str">
        <f t="shared" si="10"/>
        <v>Оплачено поставщику (поставщикам) коммунального ресурса, руб.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24844.03</v>
      </c>
      <c r="L131" s="47"/>
      <c r="O131" s="1" t="s">
        <v>149</v>
      </c>
    </row>
    <row r="132" spans="1:15" ht="32.25" customHeight="1" outlineLevel="2">
      <c r="A132" s="162" t="str">
        <f t="shared" si="10"/>
        <v>Задолженность перед поставщиком (поставщиками) коммунального ресурса, руб.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62" t="str">
        <f t="shared" si="10"/>
        <v>Размер пени и штрафов, уплаченных поставщику (поставщикам) коммунального ресурса, руб.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169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62" t="s">
        <v>172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39195.89</v>
      </c>
      <c r="O146" t="s">
        <v>171</v>
      </c>
    </row>
    <row r="149" spans="1:15" ht="52.5" customHeight="1">
      <c r="A149" s="158" t="s">
        <v>177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7" t="s">
        <v>180</v>
      </c>
      <c r="B154" s="157"/>
      <c r="C154" s="157"/>
      <c r="D154" s="157"/>
      <c r="E154" s="27">
        <f>ПТО!G1</f>
        <v>-196626.51</v>
      </c>
    </row>
    <row r="155" spans="1:15" ht="34.5" customHeight="1">
      <c r="A155" s="159" t="s">
        <v>182</v>
      </c>
      <c r="B155" s="159"/>
      <c r="C155" s="159"/>
      <c r="D155" s="159"/>
      <c r="E155" s="28">
        <f>J13</f>
        <v>103595.20799999998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4" t="str">
        <f t="shared" ref="A158:A163" si="14">IF(N158&gt;0,N158,0)</f>
        <v>Приобретение и установка ОДПУ электрической энергии.</v>
      </c>
      <c r="B158" s="154"/>
      <c r="C158" s="154"/>
      <c r="D158" s="154"/>
      <c r="E158" s="154"/>
      <c r="F158" s="155">
        <f t="shared" ref="F158:F163" si="15">IF(ISERROR(VLOOKUP(A158,$A$28:$J$72,6,FALSE)),0,VLOOKUP(A158,$A$28:$J$72,6,FALSE))</f>
        <v>14147</v>
      </c>
      <c r="G158" s="155"/>
      <c r="H158" s="24" t="str">
        <f t="shared" ref="H158:H187" si="16">VLOOKUP(A158,$A$28:$J$72,8,FALSE)</f>
        <v>разово</v>
      </c>
      <c r="I158" s="156">
        <f t="shared" ref="I158:I161" si="17">VLOOKUP(A158,$A$28:$J$72,9,FALSE)</f>
        <v>1</v>
      </c>
      <c r="J158" s="156"/>
      <c r="M158" s="22" t="s">
        <v>72</v>
      </c>
      <c r="N158" s="1" t="str">
        <f t="array" ref="N158:N187">INDEX($O$43:$O$72,SMALL(IF($M$158=R43:R72,ROW(O43:O72)-42,""),ROW()-157))</f>
        <v>Приобретение и установка ОДПУ электрической энергии.</v>
      </c>
    </row>
    <row r="159" spans="1:15" ht="28.5" customHeight="1">
      <c r="A159" s="154" t="str">
        <f t="shared" si="14"/>
        <v>Замена приварных шаровых кранов на ИТП (2 шт.).</v>
      </c>
      <c r="B159" s="154"/>
      <c r="C159" s="154"/>
      <c r="D159" s="154"/>
      <c r="E159" s="154"/>
      <c r="F159" s="155">
        <f t="shared" si="15"/>
        <v>3208</v>
      </c>
      <c r="G159" s="155"/>
      <c r="H159" s="24" t="str">
        <f t="shared" si="16"/>
        <v>разово</v>
      </c>
      <c r="I159" s="156">
        <f t="shared" si="17"/>
        <v>1</v>
      </c>
      <c r="J159" s="156"/>
      <c r="M159" s="22" t="s">
        <v>72</v>
      </c>
      <c r="N159" s="1" t="str">
        <v>Замена приварных шаровых кранов на ИТП (2 шт.).</v>
      </c>
    </row>
    <row r="160" spans="1:15" ht="28.5" customHeight="1">
      <c r="A160" s="154" t="str">
        <f t="shared" si="14"/>
        <v>Ремонт электромагнитного замка системы домофон.</v>
      </c>
      <c r="B160" s="154"/>
      <c r="C160" s="154"/>
      <c r="D160" s="154"/>
      <c r="E160" s="154"/>
      <c r="F160" s="155">
        <f t="shared" si="15"/>
        <v>1000</v>
      </c>
      <c r="G160" s="155"/>
      <c r="H160" s="24" t="str">
        <f t="shared" si="16"/>
        <v>разово</v>
      </c>
      <c r="I160" s="156">
        <f t="shared" si="17"/>
        <v>1</v>
      </c>
      <c r="J160" s="156"/>
      <c r="M160" s="22" t="s">
        <v>72</v>
      </c>
      <c r="N160" s="1" t="str">
        <v>Ремонт электромагнитного замка системы домофон.</v>
      </c>
    </row>
    <row r="161" spans="1:14" ht="28.5" customHeight="1">
      <c r="A161" s="154" t="str">
        <f>IF(N161&gt;0,N161,0)</f>
        <v>Приобретение и установка информационного стенда на детскую площадку.</v>
      </c>
      <c r="B161" s="154"/>
      <c r="C161" s="154"/>
      <c r="D161" s="154"/>
      <c r="E161" s="154"/>
      <c r="F161" s="155">
        <f t="shared" si="15"/>
        <v>250</v>
      </c>
      <c r="G161" s="155"/>
      <c r="H161" s="24" t="str">
        <f t="shared" si="16"/>
        <v>разово</v>
      </c>
      <c r="I161" s="156">
        <f t="shared" si="17"/>
        <v>1</v>
      </c>
      <c r="J161" s="156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54" t="str">
        <f t="shared" si="14"/>
        <v>Приобретение и установка фотоэлементов для шлагбаума.</v>
      </c>
      <c r="B162" s="154"/>
      <c r="C162" s="154"/>
      <c r="D162" s="154"/>
      <c r="E162" s="154"/>
      <c r="F162" s="155">
        <f t="shared" si="15"/>
        <v>996</v>
      </c>
      <c r="G162" s="155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72</v>
      </c>
      <c r="N162" s="1" t="str">
        <v>Приобретение и установка фотоэлементов для шлагбаума.</v>
      </c>
    </row>
    <row r="163" spans="1:14" ht="28.5" customHeight="1">
      <c r="A163" s="154" t="str">
        <f t="shared" si="14"/>
        <v>Модернизация шлагбаума (монтаж вызывной панели).</v>
      </c>
      <c r="B163" s="154"/>
      <c r="C163" s="154"/>
      <c r="D163" s="154"/>
      <c r="E163" s="154"/>
      <c r="F163" s="155">
        <f t="shared" si="15"/>
        <v>8216</v>
      </c>
      <c r="G163" s="155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72</v>
      </c>
      <c r="N163" s="1" t="str">
        <v>Модернизация шлагбаума (монтаж вызывной панели).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6" t="e">
        <f t="shared" ref="I164:I187" si="20">VLOOKUP(A164,$A$28:$J$72,9,FALSE)</f>
        <v>#N/A</v>
      </c>
      <c r="J164" s="156"/>
      <c r="M164" s="22" t="s">
        <v>72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5">
        <f t="shared" si="19"/>
        <v>0</v>
      </c>
      <c r="G165" s="155"/>
      <c r="H165" s="29" t="e">
        <f t="shared" si="16"/>
        <v>#N/A</v>
      </c>
      <c r="I165" s="156" t="e">
        <f t="shared" si="20"/>
        <v>#N/A</v>
      </c>
      <c r="J165" s="156"/>
      <c r="M165" s="22" t="s">
        <v>72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5">
        <f t="shared" si="19"/>
        <v>0</v>
      </c>
      <c r="G166" s="155"/>
      <c r="H166" s="29" t="e">
        <f t="shared" si="16"/>
        <v>#N/A</v>
      </c>
      <c r="I166" s="156" t="e">
        <f t="shared" si="20"/>
        <v>#N/A</v>
      </c>
      <c r="J166" s="156"/>
      <c r="M166" s="22" t="s">
        <v>72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5">
        <f t="shared" si="19"/>
        <v>0</v>
      </c>
      <c r="G167" s="155"/>
      <c r="H167" s="29" t="e">
        <f t="shared" si="16"/>
        <v>#N/A</v>
      </c>
      <c r="I167" s="156" t="e">
        <f t="shared" si="20"/>
        <v>#N/A</v>
      </c>
      <c r="J167" s="156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5">
        <f t="shared" si="19"/>
        <v>0</v>
      </c>
      <c r="G168" s="155"/>
      <c r="H168" s="29" t="e">
        <f t="shared" si="16"/>
        <v>#N/A</v>
      </c>
      <c r="I168" s="156" t="e">
        <f t="shared" si="20"/>
        <v>#N/A</v>
      </c>
      <c r="J168" s="156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5">
        <f t="shared" si="19"/>
        <v>0</v>
      </c>
      <c r="G169" s="155"/>
      <c r="H169" s="29" t="e">
        <f t="shared" si="16"/>
        <v>#N/A</v>
      </c>
      <c r="I169" s="156" t="e">
        <f t="shared" si="20"/>
        <v>#N/A</v>
      </c>
      <c r="J169" s="156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5">
        <f t="shared" si="19"/>
        <v>0</v>
      </c>
      <c r="G170" s="155"/>
      <c r="H170" s="29" t="e">
        <f t="shared" si="16"/>
        <v>#N/A</v>
      </c>
      <c r="I170" s="156" t="e">
        <f t="shared" si="20"/>
        <v>#N/A</v>
      </c>
      <c r="J170" s="156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5">
        <f t="shared" si="19"/>
        <v>0</v>
      </c>
      <c r="G171" s="155"/>
      <c r="H171" s="29" t="e">
        <f t="shared" si="16"/>
        <v>#N/A</v>
      </c>
      <c r="I171" s="156" t="e">
        <f t="shared" si="20"/>
        <v>#N/A</v>
      </c>
      <c r="J171" s="156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5">
        <f t="shared" si="19"/>
        <v>0</v>
      </c>
      <c r="G172" s="155"/>
      <c r="H172" s="29" t="e">
        <f t="shared" si="16"/>
        <v>#N/A</v>
      </c>
      <c r="I172" s="156" t="e">
        <f t="shared" si="20"/>
        <v>#N/A</v>
      </c>
      <c r="J172" s="156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5">
        <f t="shared" si="19"/>
        <v>0</v>
      </c>
      <c r="G173" s="155"/>
      <c r="H173" s="29" t="e">
        <f t="shared" si="16"/>
        <v>#N/A</v>
      </c>
      <c r="I173" s="156" t="e">
        <f t="shared" si="20"/>
        <v>#N/A</v>
      </c>
      <c r="J173" s="156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5">
        <f t="shared" si="19"/>
        <v>0</v>
      </c>
      <c r="G174" s="155"/>
      <c r="H174" s="29" t="e">
        <f t="shared" si="16"/>
        <v>#N/A</v>
      </c>
      <c r="I174" s="156" t="e">
        <f t="shared" si="20"/>
        <v>#N/A</v>
      </c>
      <c r="J174" s="156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5">
        <f t="shared" si="19"/>
        <v>0</v>
      </c>
      <c r="G175" s="155"/>
      <c r="H175" s="29" t="e">
        <f t="shared" si="16"/>
        <v>#N/A</v>
      </c>
      <c r="I175" s="156" t="e">
        <f t="shared" si="20"/>
        <v>#N/A</v>
      </c>
      <c r="J175" s="156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5">
        <f t="shared" si="19"/>
        <v>0</v>
      </c>
      <c r="G176" s="155"/>
      <c r="H176" s="29" t="e">
        <f t="shared" si="16"/>
        <v>#N/A</v>
      </c>
      <c r="I176" s="156" t="e">
        <f t="shared" si="20"/>
        <v>#N/A</v>
      </c>
      <c r="J176" s="156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5">
        <f t="shared" si="19"/>
        <v>0</v>
      </c>
      <c r="G177" s="155"/>
      <c r="H177" s="29" t="e">
        <f t="shared" si="16"/>
        <v>#N/A</v>
      </c>
      <c r="I177" s="156" t="e">
        <f t="shared" si="20"/>
        <v>#N/A</v>
      </c>
      <c r="J177" s="156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5">
        <f t="shared" si="19"/>
        <v>0</v>
      </c>
      <c r="G178" s="155"/>
      <c r="H178" s="29" t="e">
        <f t="shared" si="16"/>
        <v>#N/A</v>
      </c>
      <c r="I178" s="156" t="e">
        <f t="shared" si="20"/>
        <v>#N/A</v>
      </c>
      <c r="J178" s="156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5">
        <f t="shared" si="19"/>
        <v>0</v>
      </c>
      <c r="G179" s="155"/>
      <c r="H179" s="29" t="e">
        <f t="shared" si="16"/>
        <v>#N/A</v>
      </c>
      <c r="I179" s="156" t="e">
        <f t="shared" si="20"/>
        <v>#N/A</v>
      </c>
      <c r="J179" s="156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5">
        <f t="shared" si="19"/>
        <v>0</v>
      </c>
      <c r="G180" s="155"/>
      <c r="H180" s="29" t="e">
        <f t="shared" si="16"/>
        <v>#N/A</v>
      </c>
      <c r="I180" s="156" t="e">
        <f t="shared" si="20"/>
        <v>#N/A</v>
      </c>
      <c r="J180" s="156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5">
        <f t="shared" si="19"/>
        <v>0</v>
      </c>
      <c r="G181" s="155"/>
      <c r="H181" s="29" t="e">
        <f t="shared" si="16"/>
        <v>#N/A</v>
      </c>
      <c r="I181" s="156" t="e">
        <f t="shared" si="20"/>
        <v>#N/A</v>
      </c>
      <c r="J181" s="156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5">
        <f t="shared" si="19"/>
        <v>0</v>
      </c>
      <c r="G182" s="155"/>
      <c r="H182" s="29" t="e">
        <f t="shared" si="16"/>
        <v>#N/A</v>
      </c>
      <c r="I182" s="156" t="e">
        <f t="shared" si="20"/>
        <v>#N/A</v>
      </c>
      <c r="J182" s="156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5">
        <f t="shared" si="19"/>
        <v>0</v>
      </c>
      <c r="G183" s="155"/>
      <c r="H183" s="29" t="e">
        <f t="shared" si="16"/>
        <v>#N/A</v>
      </c>
      <c r="I183" s="156" t="e">
        <f t="shared" si="20"/>
        <v>#N/A</v>
      </c>
      <c r="J183" s="156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5">
        <f t="shared" si="19"/>
        <v>0</v>
      </c>
      <c r="G184" s="155"/>
      <c r="H184" s="29" t="e">
        <f t="shared" si="16"/>
        <v>#N/A</v>
      </c>
      <c r="I184" s="156" t="e">
        <f t="shared" si="20"/>
        <v>#N/A</v>
      </c>
      <c r="J184" s="156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5">
        <f t="shared" si="19"/>
        <v>0</v>
      </c>
      <c r="G185" s="155"/>
      <c r="H185" s="29" t="e">
        <f t="shared" si="16"/>
        <v>#N/A</v>
      </c>
      <c r="I185" s="156" t="e">
        <f t="shared" si="20"/>
        <v>#N/A</v>
      </c>
      <c r="J185" s="156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5">
        <f t="shared" si="19"/>
        <v>0</v>
      </c>
      <c r="G186" s="155"/>
      <c r="H186" s="29" t="e">
        <f t="shared" si="16"/>
        <v>#N/A</v>
      </c>
      <c r="I186" s="156" t="e">
        <f t="shared" si="20"/>
        <v>#N/A</v>
      </c>
      <c r="J186" s="156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5">
        <f t="shared" si="19"/>
        <v>0</v>
      </c>
      <c r="G187" s="155"/>
      <c r="H187" s="29" t="e">
        <f t="shared" si="16"/>
        <v>#N/A</v>
      </c>
      <c r="I187" s="156" t="e">
        <f t="shared" si="20"/>
        <v>#N/A</v>
      </c>
      <c r="J187" s="156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7" t="s">
        <v>183</v>
      </c>
      <c r="B190" s="157"/>
      <c r="C190" s="157"/>
      <c r="D190" s="157"/>
      <c r="E190" s="27">
        <f>SUM(F158:G187)</f>
        <v>27817</v>
      </c>
    </row>
    <row r="191" spans="1:14" ht="51.75" customHeight="1">
      <c r="A191" s="157" t="s">
        <v>184</v>
      </c>
      <c r="B191" s="157"/>
      <c r="C191" s="157"/>
      <c r="D191" s="157"/>
      <c r="E191" s="27">
        <f>E190+E154-E155</f>
        <v>-272404.71799999999</v>
      </c>
    </row>
    <row r="192" spans="1:14">
      <c r="A192" s="104" t="s">
        <v>173</v>
      </c>
    </row>
    <row r="193" spans="1:10" ht="62.25" customHeight="1">
      <c r="A193" s="182" t="s">
        <v>181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1" t="str">
        <f>ПТО!F12</f>
        <v xml:space="preserve">  -  поверка (замена) манометров и термометров</v>
      </c>
      <c r="B194" s="181"/>
      <c r="C194" s="181"/>
      <c r="D194" s="181"/>
      <c r="E194" s="181"/>
      <c r="F194" s="181"/>
      <c r="G194" s="181"/>
      <c r="H194" s="49">
        <f>ПТО!G12</f>
        <v>1200</v>
      </c>
      <c r="I194" s="50" t="s">
        <v>74</v>
      </c>
    </row>
    <row r="195" spans="1:10" ht="18.75" customHeight="1">
      <c r="A195" s="181" t="str">
        <f>ПТО!F13</f>
        <v xml:space="preserve">  - благоустройство придомовой территории</v>
      </c>
      <c r="B195" s="181"/>
      <c r="C195" s="181"/>
      <c r="D195" s="181"/>
      <c r="E195" s="181"/>
      <c r="F195" s="181"/>
      <c r="G195" s="181"/>
      <c r="H195" s="49">
        <f>ПТО!G13</f>
        <v>5000</v>
      </c>
      <c r="I195" s="50" t="s">
        <v>74</v>
      </c>
    </row>
    <row r="196" spans="1:10" ht="18.75" customHeight="1">
      <c r="A196" s="181" t="str">
        <f>ПТО!F14</f>
        <v xml:space="preserve">  -  замена входной двери</v>
      </c>
      <c r="B196" s="181"/>
      <c r="C196" s="181"/>
      <c r="D196" s="181"/>
      <c r="E196" s="181"/>
      <c r="F196" s="181"/>
      <c r="G196" s="181"/>
      <c r="H196" s="49">
        <f>ПТО!G14</f>
        <v>45000</v>
      </c>
      <c r="I196" s="50" t="s">
        <v>74</v>
      </c>
    </row>
    <row r="197" spans="1:10" ht="18.75" customHeight="1">
      <c r="A197" s="181" t="str">
        <f>ПТО!F15</f>
        <v xml:space="preserve">  -  изготовление и установка скамейки </v>
      </c>
      <c r="B197" s="181"/>
      <c r="C197" s="181"/>
      <c r="D197" s="181"/>
      <c r="E197" s="181"/>
      <c r="F197" s="181"/>
      <c r="G197" s="181"/>
      <c r="H197" s="49">
        <f>ПТО!G15</f>
        <v>15000</v>
      </c>
      <c r="I197" s="50" t="s">
        <v>74</v>
      </c>
    </row>
    <row r="198" spans="1:10" ht="18.75" customHeight="1">
      <c r="A198" s="181" t="str">
        <f>ПТО!F16</f>
        <v xml:space="preserve">  -  изготовление и установка перил ограждений на крыльцах</v>
      </c>
      <c r="B198" s="181"/>
      <c r="C198" s="181"/>
      <c r="D198" s="181"/>
      <c r="E198" s="181"/>
      <c r="F198" s="181"/>
      <c r="G198" s="181"/>
      <c r="H198" s="49">
        <f>ПТО!G16</f>
        <v>20000</v>
      </c>
      <c r="I198" s="52" t="s">
        <v>74</v>
      </c>
    </row>
    <row r="199" spans="1:10" ht="18.75" customHeight="1">
      <c r="A199" s="181" t="str">
        <f>ПТО!F17</f>
        <v xml:space="preserve">  -  ремонт отмостки</v>
      </c>
      <c r="B199" s="181"/>
      <c r="C199" s="181"/>
      <c r="D199" s="181"/>
      <c r="E199" s="181"/>
      <c r="F199" s="181"/>
      <c r="G199" s="181"/>
      <c r="H199" s="49">
        <f>ПТО!G17</f>
        <v>40000</v>
      </c>
      <c r="I199" s="50" t="s">
        <v>74</v>
      </c>
    </row>
    <row r="200" spans="1:10" hidden="1">
      <c r="A200" s="181">
        <f>ПТО!F18</f>
        <v>0</v>
      </c>
      <c r="B200" s="181"/>
      <c r="C200" s="181"/>
      <c r="D200" s="181"/>
      <c r="E200" s="181"/>
      <c r="F200" s="181"/>
      <c r="G200" s="181"/>
      <c r="H200" s="49">
        <f>ПТО!G18</f>
        <v>0</v>
      </c>
      <c r="I200" s="50" t="s">
        <v>74</v>
      </c>
    </row>
    <row r="201" spans="1:10" hidden="1">
      <c r="A201" s="181">
        <f>ПТО!F19</f>
        <v>0</v>
      </c>
      <c r="B201" s="181"/>
      <c r="C201" s="181"/>
      <c r="D201" s="181"/>
      <c r="E201" s="181"/>
      <c r="F201" s="181"/>
      <c r="G201" s="181"/>
      <c r="H201" s="49">
        <f>ПТО!G19</f>
        <v>0</v>
      </c>
      <c r="I201" s="50" t="s">
        <v>74</v>
      </c>
    </row>
    <row r="202" spans="1:10" hidden="1">
      <c r="A202" s="181">
        <f>ПТО!F20</f>
        <v>0</v>
      </c>
      <c r="B202" s="181"/>
      <c r="C202" s="181"/>
      <c r="D202" s="181"/>
      <c r="E202" s="181"/>
      <c r="F202" s="181"/>
      <c r="G202" s="181"/>
      <c r="H202" s="49">
        <f>ПТО!G20</f>
        <v>0</v>
      </c>
      <c r="I202" s="50" t="s">
        <v>74</v>
      </c>
    </row>
    <row r="203" spans="1:10" hidden="1">
      <c r="A203" s="181">
        <f>ПТО!F21</f>
        <v>0</v>
      </c>
      <c r="B203" s="181"/>
      <c r="C203" s="181"/>
      <c r="D203" s="181"/>
      <c r="E203" s="181"/>
      <c r="F203" s="181"/>
      <c r="G203" s="181"/>
      <c r="H203" s="49">
        <f>ПТО!G21</f>
        <v>0</v>
      </c>
      <c r="I203" s="50" t="s">
        <v>74</v>
      </c>
    </row>
    <row r="204" spans="1:10" hidden="1">
      <c r="A204" s="181">
        <f>ПТО!F22</f>
        <v>0</v>
      </c>
      <c r="B204" s="181"/>
      <c r="C204" s="181"/>
      <c r="D204" s="181"/>
      <c r="E204" s="181"/>
      <c r="F204" s="181"/>
      <c r="G204" s="181"/>
      <c r="H204" s="49">
        <f>ПТО!G22</f>
        <v>0</v>
      </c>
      <c r="I204" s="50" t="s">
        <v>74</v>
      </c>
    </row>
    <row r="205" spans="1:10" hidden="1">
      <c r="A205" s="181">
        <f>ПТО!F23</f>
        <v>0</v>
      </c>
      <c r="B205" s="181"/>
      <c r="C205" s="181"/>
      <c r="D205" s="181"/>
      <c r="E205" s="181"/>
      <c r="F205" s="181"/>
      <c r="G205" s="181"/>
      <c r="H205" s="49">
        <f>ПТО!G23</f>
        <v>0</v>
      </c>
      <c r="I205" s="50" t="s">
        <v>74</v>
      </c>
    </row>
    <row r="206" spans="1:10" hidden="1">
      <c r="A206" s="181">
        <f>ПТО!F24</f>
        <v>0</v>
      </c>
      <c r="B206" s="181"/>
      <c r="C206" s="181"/>
      <c r="D206" s="181"/>
      <c r="E206" s="181"/>
      <c r="F206" s="181"/>
      <c r="G206" s="181"/>
      <c r="H206" s="49">
        <f>ПТО!G24</f>
        <v>0</v>
      </c>
      <c r="I206" s="50" t="s">
        <v>74</v>
      </c>
    </row>
    <row r="207" spans="1:10" hidden="1">
      <c r="A207" s="181">
        <f>ПТО!F25</f>
        <v>0</v>
      </c>
      <c r="B207" s="181"/>
      <c r="C207" s="181"/>
      <c r="D207" s="181"/>
      <c r="E207" s="181"/>
      <c r="F207" s="181"/>
      <c r="G207" s="181"/>
      <c r="H207" s="49">
        <f>ПТО!G25</f>
        <v>0</v>
      </c>
      <c r="I207" s="50" t="s">
        <v>74</v>
      </c>
    </row>
    <row r="208" spans="1:10" hidden="1">
      <c r="A208" s="181">
        <f>ПТО!F26</f>
        <v>0</v>
      </c>
      <c r="B208" s="181"/>
      <c r="C208" s="181"/>
      <c r="D208" s="181"/>
      <c r="E208" s="181"/>
      <c r="F208" s="181"/>
      <c r="G208" s="181"/>
      <c r="H208" s="49">
        <f>ПТО!G26</f>
        <v>0</v>
      </c>
      <c r="I208" s="50" t="s">
        <v>74</v>
      </c>
    </row>
    <row r="209" spans="1:9" hidden="1">
      <c r="A209" s="181">
        <f>ПТО!F27</f>
        <v>0</v>
      </c>
      <c r="B209" s="181"/>
      <c r="C209" s="181"/>
      <c r="D209" s="181"/>
      <c r="E209" s="181"/>
      <c r="F209" s="181"/>
      <c r="G209" s="181"/>
      <c r="H209" s="49">
        <f>ПТО!G27</f>
        <v>0</v>
      </c>
      <c r="I209" s="50" t="s">
        <v>74</v>
      </c>
    </row>
    <row r="210" spans="1:9" hidden="1">
      <c r="A210" s="181">
        <f>ПТО!F28</f>
        <v>0</v>
      </c>
      <c r="B210" s="181"/>
      <c r="C210" s="181"/>
      <c r="D210" s="181"/>
      <c r="E210" s="181"/>
      <c r="F210" s="181"/>
      <c r="G210" s="181"/>
      <c r="H210" s="49">
        <f>ПТО!G28</f>
        <v>0</v>
      </c>
      <c r="I210" s="50" t="s">
        <v>74</v>
      </c>
    </row>
    <row r="211" spans="1:9" hidden="1">
      <c r="A211" s="181">
        <f>ПТО!F29</f>
        <v>0</v>
      </c>
      <c r="B211" s="181"/>
      <c r="C211" s="181"/>
      <c r="D211" s="181"/>
      <c r="E211" s="181"/>
      <c r="F211" s="181"/>
      <c r="G211" s="181"/>
      <c r="H211" s="49">
        <f>ПТО!G29</f>
        <v>0</v>
      </c>
      <c r="I211" s="50" t="s">
        <v>74</v>
      </c>
    </row>
    <row r="212" spans="1:9" hidden="1">
      <c r="A212" s="181">
        <f>ПТО!F30</f>
        <v>0</v>
      </c>
      <c r="B212" s="181"/>
      <c r="C212" s="181"/>
      <c r="D212" s="181"/>
      <c r="E212" s="181"/>
      <c r="F212" s="181"/>
      <c r="G212" s="181"/>
      <c r="H212" s="49">
        <f>ПТО!G30</f>
        <v>0</v>
      </c>
      <c r="I212" s="50" t="s">
        <v>74</v>
      </c>
    </row>
    <row r="213" spans="1:9" hidden="1">
      <c r="A213" s="181">
        <f>ПТО!F31</f>
        <v>0</v>
      </c>
      <c r="B213" s="181"/>
      <c r="C213" s="181"/>
      <c r="D213" s="181"/>
      <c r="E213" s="181"/>
      <c r="F213" s="181"/>
      <c r="G213" s="181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126200</v>
      </c>
      <c r="I214" s="56" t="s">
        <v>76</v>
      </c>
    </row>
  </sheetData>
  <sheetProtection algorithmName="SHA-512" hashValue="R100BdBYfdTFZKuCfW1FXNe8AKkiKywaWczGc9l2ep2D3nfxQ54aISfIF/YB4mHjbowOQmnHzWpD3oMADUS1Xw==" saltValue="xT1sGAJxJOc7keN1EKpKP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180</v>
      </c>
      <c r="G1" s="101">
        <f>-196626.51</f>
        <v>-196626.51</v>
      </c>
    </row>
    <row r="2" spans="1:12" ht="18.75" customHeight="1">
      <c r="A2" s="130" t="s">
        <v>179</v>
      </c>
      <c r="B2" s="131" t="s">
        <v>175</v>
      </c>
      <c r="C2" s="117">
        <v>1</v>
      </c>
      <c r="D2" s="118">
        <v>14147</v>
      </c>
      <c r="E2" s="119" t="s">
        <v>185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187</v>
      </c>
      <c r="B3" s="124" t="s">
        <v>175</v>
      </c>
      <c r="C3" s="133">
        <v>1</v>
      </c>
      <c r="D3" s="134">
        <v>3208</v>
      </c>
      <c r="E3" s="120" t="s">
        <v>186</v>
      </c>
      <c r="F3" s="30"/>
      <c r="G3" s="30"/>
      <c r="L3" s="33" t="str">
        <f t="shared" si="0"/>
        <v>ТР</v>
      </c>
    </row>
    <row r="4" spans="1:12" ht="18.75" customHeight="1">
      <c r="A4" s="135" t="s">
        <v>188</v>
      </c>
      <c r="B4" s="136" t="s">
        <v>175</v>
      </c>
      <c r="C4" s="121">
        <v>1</v>
      </c>
      <c r="D4" s="118">
        <v>1000</v>
      </c>
      <c r="E4" s="119" t="s">
        <v>189</v>
      </c>
      <c r="F4" s="30"/>
      <c r="G4" s="30"/>
      <c r="L4" s="33" t="str">
        <f t="shared" si="0"/>
        <v>ТР</v>
      </c>
    </row>
    <row r="5" spans="1:12" ht="18.75" customHeight="1">
      <c r="A5" s="140" t="s">
        <v>192</v>
      </c>
      <c r="B5" s="141" t="s">
        <v>175</v>
      </c>
      <c r="C5" s="142">
        <v>1</v>
      </c>
      <c r="D5" s="143">
        <v>250</v>
      </c>
      <c r="E5" s="139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7" t="s">
        <v>190</v>
      </c>
      <c r="B6" s="144" t="s">
        <v>175</v>
      </c>
      <c r="C6" s="121">
        <v>1</v>
      </c>
      <c r="D6" s="118">
        <v>996</v>
      </c>
      <c r="E6" s="138" t="s">
        <v>191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195</v>
      </c>
      <c r="B7" s="145" t="s">
        <v>175</v>
      </c>
      <c r="C7" s="146">
        <v>1</v>
      </c>
      <c r="D7" s="147">
        <v>8216</v>
      </c>
      <c r="E7" s="139" t="s">
        <v>194</v>
      </c>
      <c r="F7" s="45"/>
      <c r="G7" s="45"/>
      <c r="K7" s="46"/>
      <c r="L7" s="33" t="str">
        <f t="shared" si="0"/>
        <v>ТР</v>
      </c>
    </row>
    <row r="8" spans="1:12" ht="18.75" customHeight="1">
      <c r="A8" s="128"/>
      <c r="B8" s="129"/>
      <c r="C8" s="127"/>
      <c r="D8" s="46"/>
      <c r="E8" s="126"/>
      <c r="F8" s="45"/>
      <c r="G8" s="45"/>
      <c r="K8" s="43"/>
      <c r="L8" s="33">
        <f t="shared" si="0"/>
        <v>0</v>
      </c>
    </row>
    <row r="9" spans="1:12">
      <c r="A9" s="122"/>
      <c r="B9" s="123"/>
      <c r="C9" s="124"/>
      <c r="D9" s="125"/>
      <c r="E9" s="126"/>
      <c r="F9" s="44"/>
      <c r="G9" s="44"/>
      <c r="K9" s="43"/>
      <c r="L9" s="33">
        <f t="shared" si="0"/>
        <v>0</v>
      </c>
    </row>
    <row r="10" spans="1:12">
      <c r="A10" s="122"/>
      <c r="B10" s="123"/>
      <c r="C10" s="124"/>
      <c r="D10" s="125"/>
      <c r="E10" s="126"/>
      <c r="L10" s="33">
        <f t="shared" si="0"/>
        <v>0</v>
      </c>
    </row>
    <row r="11" spans="1:12" ht="94.5">
      <c r="A11" s="122"/>
      <c r="B11" s="123"/>
      <c r="C11" s="124"/>
      <c r="D11" s="125"/>
      <c r="E11" s="126"/>
      <c r="F11" s="111" t="s">
        <v>181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178</v>
      </c>
      <c r="G13" s="113">
        <v>5000</v>
      </c>
      <c r="L13" s="33">
        <f t="shared" si="0"/>
        <v>0</v>
      </c>
    </row>
    <row r="14" spans="1:12" ht="15.75">
      <c r="A14" s="30"/>
      <c r="F14" s="112" t="s">
        <v>204</v>
      </c>
      <c r="G14" s="113">
        <v>45000</v>
      </c>
      <c r="L14" s="33">
        <f t="shared" si="0"/>
        <v>0</v>
      </c>
    </row>
    <row r="15" spans="1:12" ht="15.75">
      <c r="A15" s="30"/>
      <c r="F15" s="112" t="s">
        <v>207</v>
      </c>
      <c r="G15" s="113">
        <v>15000</v>
      </c>
      <c r="L15" s="33">
        <f t="shared" si="0"/>
        <v>0</v>
      </c>
    </row>
    <row r="16" spans="1:12" ht="31.5">
      <c r="A16" s="30"/>
      <c r="F16" s="112" t="s">
        <v>205</v>
      </c>
      <c r="G16" s="113">
        <v>20000</v>
      </c>
      <c r="L16" s="33">
        <f t="shared" si="0"/>
        <v>0</v>
      </c>
    </row>
    <row r="17" spans="1:12" ht="15.75">
      <c r="A17" s="30"/>
      <c r="F17" s="152" t="s">
        <v>206</v>
      </c>
      <c r="G17" s="153">
        <v>40000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70365.36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70365.36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63639.240000000005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63639.240000000005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29750.04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29750.04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21213.119999999999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21213.119999999999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56395.680000000008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56395.680000000008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196</v>
      </c>
      <c r="B47" s="149">
        <f>(E47*G53*F55*6+E47*G53*G55*6)+(F47*G59*F61*6+F47*G59*G61*6)+(F47*G63*F65*6+F47*G63*G65*6)</f>
        <v>13236.550200000001</v>
      </c>
      <c r="C47" s="150" t="s">
        <v>68</v>
      </c>
      <c r="D47" s="48">
        <v>12</v>
      </c>
      <c r="E47" s="149">
        <v>173.2</v>
      </c>
      <c r="F47" s="149">
        <v>173.2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13236.550200000001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1" t="s">
        <v>197</v>
      </c>
      <c r="F52" s="151" t="s">
        <v>198</v>
      </c>
      <c r="G52" s="151" t="s">
        <v>199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1">
        <v>35.896999999999998</v>
      </c>
      <c r="F53" s="149">
        <v>2240.1</v>
      </c>
      <c r="G53" s="151">
        <v>3.48</v>
      </c>
      <c r="H53" s="151">
        <f>G53*E47/F53</f>
        <v>0.26906655952859249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1"/>
      <c r="F54" s="151" t="s">
        <v>200</v>
      </c>
      <c r="G54" s="151" t="s">
        <v>201</v>
      </c>
      <c r="H54" s="151">
        <f>H53*64.8</f>
        <v>17.435513057452791</v>
      </c>
    </row>
    <row r="55" spans="5:16">
      <c r="E55" s="151"/>
      <c r="F55" s="151">
        <v>1.17</v>
      </c>
      <c r="G55" s="151">
        <v>1.23</v>
      </c>
      <c r="H55" s="151"/>
    </row>
    <row r="56" spans="5:16">
      <c r="E56" s="151"/>
      <c r="F56" s="151"/>
      <c r="G56" s="151"/>
      <c r="H56" s="151"/>
    </row>
    <row r="57" spans="5:16">
      <c r="E57" s="151"/>
      <c r="F57" s="151"/>
      <c r="G57" s="151"/>
      <c r="H57" s="151"/>
    </row>
    <row r="58" spans="5:16">
      <c r="E58" s="151" t="s">
        <v>202</v>
      </c>
      <c r="F58" s="151"/>
      <c r="G58" s="151"/>
      <c r="H58" s="151"/>
    </row>
    <row r="59" spans="5:16">
      <c r="E59" s="151">
        <v>0.59599999999999997</v>
      </c>
      <c r="F59" s="149">
        <v>2240.1</v>
      </c>
      <c r="G59" s="151">
        <v>7.4999999999999997E-2</v>
      </c>
      <c r="H59" s="151">
        <f>G59*F47</f>
        <v>12.989999999999998</v>
      </c>
    </row>
    <row r="60" spans="5:16">
      <c r="E60" s="151"/>
      <c r="F60" s="151" t="s">
        <v>200</v>
      </c>
      <c r="G60" s="151" t="s">
        <v>201</v>
      </c>
      <c r="H60" s="151">
        <f>H59/F59</f>
        <v>5.7988482657024233E-3</v>
      </c>
    </row>
    <row r="61" spans="5:16">
      <c r="E61" s="151"/>
      <c r="F61" s="151">
        <v>12.94</v>
      </c>
      <c r="G61" s="151">
        <v>13.45</v>
      </c>
      <c r="H61" s="151">
        <f>H60*64.8</f>
        <v>0.375765367617517</v>
      </c>
    </row>
    <row r="62" spans="5:16">
      <c r="E62" s="151" t="s">
        <v>203</v>
      </c>
      <c r="F62" s="151"/>
      <c r="G62" s="151"/>
      <c r="H62" s="151"/>
    </row>
    <row r="63" spans="5:16">
      <c r="E63" s="151">
        <v>0.59599999999999997</v>
      </c>
      <c r="F63" s="149">
        <v>2240.1</v>
      </c>
      <c r="G63" s="151">
        <v>7.4999999999999997E-2</v>
      </c>
      <c r="H63" s="151">
        <f>G63*F47</f>
        <v>12.989999999999998</v>
      </c>
    </row>
    <row r="64" spans="5:16">
      <c r="E64" s="151"/>
      <c r="F64" s="151" t="s">
        <v>200</v>
      </c>
      <c r="G64" s="151" t="s">
        <v>201</v>
      </c>
      <c r="H64" s="151">
        <f>H63/F63</f>
        <v>5.7988482657024233E-3</v>
      </c>
    </row>
    <row r="65" spans="4:13" ht="18.75" customHeight="1">
      <c r="E65" s="151"/>
      <c r="F65" s="151">
        <v>15.73</v>
      </c>
      <c r="G65" s="151">
        <v>16.350000000000001</v>
      </c>
      <c r="H65" s="151">
        <f>H64*64.8</f>
        <v>0.375765367617517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4" sqref="C3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2191.1</v>
      </c>
    </row>
    <row r="2" spans="1:10" ht="15.75" customHeight="1">
      <c r="A2" s="70" t="s">
        <v>81</v>
      </c>
      <c r="B2" s="72" t="s">
        <v>2</v>
      </c>
      <c r="C2" s="83">
        <v>49795.53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463589.74800000002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248240.42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103595.20799999998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111754.12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432987.11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432987.11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432987.11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19192.891999999993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104</v>
      </c>
      <c r="B27" s="75" t="s">
        <v>4</v>
      </c>
      <c r="C27" s="86">
        <v>26518.11</v>
      </c>
      <c r="D27" s="81" t="s">
        <v>60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107</v>
      </c>
      <c r="B30" s="75" t="s">
        <v>18</v>
      </c>
      <c r="C30" s="86">
        <v>37239.83</v>
      </c>
      <c r="D30" s="81" t="s">
        <v>66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8568.07</v>
      </c>
      <c r="F37" s="94" t="s">
        <v>166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7140.06</v>
      </c>
      <c r="D38" s="94" t="s">
        <v>164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7982.81</v>
      </c>
      <c r="D39" s="94" t="s">
        <v>165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585.25999999999931</v>
      </c>
      <c r="D40" s="80" t="s">
        <v>59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8568.07</v>
      </c>
      <c r="D41" s="80" t="s">
        <v>59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8568.07</v>
      </c>
      <c r="D42" s="80" t="s">
        <v>59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41442.75</v>
      </c>
      <c r="F45" s="94" t="s">
        <v>166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3139.6</v>
      </c>
      <c r="D46" s="94" t="s">
        <v>167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38430.980000000003</v>
      </c>
      <c r="D47" s="94" t="s">
        <v>165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3011.7699999999968</v>
      </c>
      <c r="D48" s="80" t="s">
        <v>59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41442.75</v>
      </c>
      <c r="D49" s="80" t="s">
        <v>59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41442.75</v>
      </c>
      <c r="D50" s="80" t="s">
        <v>59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84731.13</v>
      </c>
      <c r="F53" s="94" t="s">
        <v>166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5282.49</v>
      </c>
      <c r="D54" s="94" t="s">
        <v>167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79636.27</v>
      </c>
      <c r="D55" s="94" t="s">
        <v>165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5094.8600000000006</v>
      </c>
      <c r="D56" s="80" t="s">
        <v>59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84731.13</v>
      </c>
      <c r="D57" s="80" t="s">
        <v>59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84731.13</v>
      </c>
      <c r="D58" s="80" t="s">
        <v>59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24844.03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1882.12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22814.2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2029.8299999999981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24844.03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24844.03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39195.89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2022-03-28T02:47:41Z</dcterms:modified>
</cp:coreProperties>
</file>