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1" i="1" l="1"/>
  <c r="A115" i="1"/>
  <c r="A110" i="1"/>
  <c r="A123" i="1"/>
  <c r="A119" i="1"/>
  <c r="A118" i="1"/>
  <c r="A116" i="1"/>
  <c r="A114" i="1"/>
  <c r="D110" i="1"/>
  <c r="A112" i="1"/>
  <c r="F110" i="1"/>
  <c r="A113" i="1"/>
  <c r="A105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<sst xmlns="http://schemas.openxmlformats.org/spreadsheetml/2006/main" count="557" uniqueCount="204">
  <si>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</si>
  <si>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</si>
  <si>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</si>
  <si>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</si>
  <si>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</si>
  <si>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</si>
  <si>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</si>
  <si>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</si>
  <si>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</si>
  <si>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</si>
  <si>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</si>
  <si>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</si>
  <si>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</si>
  <si>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</si>
  <si>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</si>
  <si>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</si>
  <si>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</si>
  <si>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</si>
  <si>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</si>
  <si>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</si>
  <si>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</si>
  <si>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</si>
  <si>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</si>
  <si>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</si>
  <si>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</si>
  <si>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</si>
  <si>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</si>
  <si>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</si>
  <si>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</si>
  <si>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</si>
  <si>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</si>
  <si>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</si>
  <si>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</si>
  <si>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</si>
  <si>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</si>
  <si>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</si>
  <si>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</si>
  <si>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</si>
  <si>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</si>
  <si>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</si>
  <si>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</si>
  <si>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</si>
  <si>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</si>
  <si>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</si>
  <si>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</si>
  <si>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</si>
  <si>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</si>
  <si>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</si>
  <si>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</si>
  <si>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</si>
  <si>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</si>
  <si>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</si>
  <si>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</si>
  <si>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</si>
  <si>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</si>
  <si>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</si>
  <si>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</si>
  <si>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</si>
  <si>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</si>
  <si>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</si>
  <si>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</si>
  <si>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</si>
  <si>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</si>
  <si>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</si>
  <si>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</si>
  <si>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</si>
  <si>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</si>
  <si>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</si>
  <si>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</si>
  <si>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</si>
  <si>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</si>
  <si>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</si>
  <si>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</si>
  <si>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</si>
  <si>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</si>
  <si>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</si>
  <si>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</si>
  <si>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</si>
  <si>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</si>
  <si>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</si>
  <si>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</si>
  <si>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</si>
  <si>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</si>
  <si>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</si>
  <si>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</si>
  <si>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</si>
  <si>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</si>
  <si>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</si>
  <si>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</si>
  <si>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</si>
  <si>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</si>
  <si>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</si>
  <si>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</si>
  <si>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</si>
  <si>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</si>
  <si>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</si>
  <si>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</si>
  <si>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</si>
  <si>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</si>
  <si>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</si>
  <si>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</si>
  <si>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</si>
  <si>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</si>
  <si>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</si>
  <si>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</si>
  <si>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</si>
  <si>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</si>
  <si>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</si>
  <si>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</si>
  <si>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</si>
  <si>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</si>
  <si>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</si>
  <si>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</si>
  <si>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</si>
  <si>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</si>
  <si>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</si>
  <si>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</si>
  <si>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</si>
  <si>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</si>
  <si>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</si>
  <si>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</si>
  <si>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</si>
  <si>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</si>
  <si>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</si>
  <si>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</si>
  <si>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</si>
  <si>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</si>
  <si>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</si>
  <si>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</si>
  <si>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</si>
  <si>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</si>
  <si>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</si>
  <si>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</si>
  <si>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</si>
  <si>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</si>
  <si>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</si>
  <si>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</si>
  <si>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</si>
  <si>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</si>
  <si>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</si>
  <si>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</si>
  <si>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</si>
  <si>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</si>
  <si>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</si>
  <si>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</si>
  <si>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</si>
  <si>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</si>
  <si>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</si>
  <si>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</si>
  <si>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</si>
  <si>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</si>
  <si>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</si>
  <si>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</si>
  <si>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</si>
  <si>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</si>
  <si>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</si>
  <si>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</si>
  <si>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</si>
  <si>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</si>
  <si>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</si>
  <si>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</si>
  <si>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</si>
  <si>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</si>
  <si>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</si>
  <si>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</si>
  <si>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</si>
  <si>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</si>
  <si>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</si>
  <si>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</si>
  <si>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</si>
  <si>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</si>
  <si>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</si>
  <si>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</si>
  <si>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</si>
  <si>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131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</si>
  <si>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</si>
  <si>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</si>
  <si>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</si>
  <si>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</si>
  <si>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</si>
  <si>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131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</si>
  <si>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</si>
  <si>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</si>
  <si>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</si>
  <si>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</si>
  <si>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</si>
  <si>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Ремонт прибора учета тепловой энергии.</t>
  </si>
  <si>
    <t>разово</t>
  </si>
  <si>
    <t>АВР 1/21 от 28.10.2021, счет №281 от 18.10.2021</t>
  </si>
  <si>
    <t>Приобретение и установка информационного стенда на детскую площадку.</t>
  </si>
  <si>
    <t>АВР 2/21 от 29.11.2021</t>
  </si>
  <si>
    <t>АВР 3/21 от 22.12.2021, счет №ТА-2152 от 13.12.2021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</si>
  <si>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</si>
  <si>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</si>
  <si>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</si>
  <si>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</si>
  <si>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</si>
  <si>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</si>
  <si>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</si>
  <si>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</si>
  <si>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</si>
  <si>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Приобретение циркуляционного насоса.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</si>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</sst>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25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7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>
      <alignment horizontal="center"/>
    </xf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24" fillId="0" borderId="0" xfId="5" applyNumberFormat="1" applyFont="1" applyFill="1" applyBorder="1" applyAlignment="1"/>
    <xf numFmtId="0" fontId="9" fillId="0" borderId="0" xfId="5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17" fillId="0" borderId="0" xfId="0" applyFont="1" applyBorder="1" applyAlignment="1"/>
    <xf numFmtId="4" fontId="17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23" applyFont="1" applyFill="1" applyBorder="1" applyAlignment="1"/>
    <xf numFmtId="4" fontId="4" fillId="0" borderId="0" xfId="24" applyNumberFormat="1" applyFill="1" applyBorder="1" applyAlignment="1"/>
    <xf numFmtId="0" fontId="4" fillId="0" borderId="0" xfId="12" applyFont="1" applyFill="1" applyBorder="1"/>
    <xf numFmtId="0" fontId="5" fillId="0" borderId="0" xfId="7" applyFont="1" applyFill="1" applyBorder="1" applyAlignment="1">
      <alignment horizontal="center"/>
    </xf>
    <xf numFmtId="0" fontId="24" fillId="0" borderId="0" xfId="7" applyFont="1" applyFill="1" applyBorder="1" applyAlignment="1">
      <alignment horizontal="center"/>
    </xf>
    <xf numFmtId="4" fontId="24" fillId="0" borderId="0" xfId="7" applyNumberFormat="1" applyFont="1" applyFill="1" applyBorder="1" applyAlignment="1"/>
    <xf numFmtId="4" fontId="24" fillId="0" borderId="0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26" fillId="3" borderId="0" xfId="40" applyNumberFormat="1" applyFont="1" applyFill="1" applyBorder="1" applyAlignment="1">
      <alignment horizontal="left" vertical="center" wrapText="1"/>
    </xf>
    <xf numFmtId="4" fontId="34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7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41">
    <cellStyle name="Обычный" xfId="0" builtinId="0"/>
    <cellStyle name="Обычный 2" xfId="1"/>
    <cellStyle name="Обычный 2 2" xfId="3"/>
    <cellStyle name="Обычный 2 3" xfId="15"/>
    <cellStyle name="Обычный 2 3 2" xfId="32"/>
    <cellStyle name="Обычный 2 4" xfId="22"/>
    <cellStyle name="Обычный 2 5" xfId="27"/>
    <cellStyle name="Обычный 2 5 2" xfId="40"/>
    <cellStyle name="Обычный 2 6" xfId="35"/>
    <cellStyle name="Обычный 2 7" xfId="9"/>
    <cellStyle name="Обычный 3" xfId="2"/>
    <cellStyle name="Обычный 3 2" xfId="6"/>
    <cellStyle name="Обычный 3 3" xfId="14"/>
    <cellStyle name="Обычный 3 4" xfId="20"/>
    <cellStyle name="Обычный 3 4 2" xfId="33"/>
    <cellStyle name="Обычный 3 5" xfId="16"/>
    <cellStyle name="Обычный 3 6" xfId="23"/>
    <cellStyle name="Обычный 3 7" xfId="28"/>
    <cellStyle name="Обычный 3 8" xfId="36"/>
    <cellStyle name="Обычный 3 9" xfId="10"/>
    <cellStyle name="Обычный 4" xfId="4"/>
    <cellStyle name="Обычный 4 2" xfId="7"/>
    <cellStyle name="Обычный 4 2 2" xfId="34"/>
    <cellStyle name="Обычный 4 2 3" xfId="17"/>
    <cellStyle name="Обычный 4 3" xfId="24"/>
    <cellStyle name="Обычный 4 4" xfId="29"/>
    <cellStyle name="Обычный 4 5" xfId="37"/>
    <cellStyle name="Обычный 4 6" xfId="11"/>
    <cellStyle name="Обычный 5" xfId="5"/>
    <cellStyle name="Обычный 5 2" xfId="18"/>
    <cellStyle name="Обычный 5 3" xfId="25"/>
    <cellStyle name="Обычный 5 4" xfId="21"/>
    <cellStyle name="Обычный 5 4 2" xfId="26"/>
    <cellStyle name="Обычный 5 4 3" xfId="39"/>
    <cellStyle name="Обычный 5 5" xfId="30"/>
    <cellStyle name="Обычный 5 6" xfId="38"/>
    <cellStyle name="Обычный 5 7" xfId="12"/>
    <cellStyle name="Обычный 6" xfId="8"/>
    <cellStyle name="Финансовый 2" xfId="13"/>
    <cellStyle name="Финансовый 2 2" xfId="19"/>
    <cellStyle name="Финансовый 2 3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46" sqref="K4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5" t="s">
        <v>174</v>
      </c>
      <c r="B2" s="165"/>
      <c r="C2" s="165"/>
      <c r="D2" s="165"/>
      <c r="E2" s="165"/>
      <c r="F2" s="165"/>
      <c r="G2" s="165"/>
      <c r="H2" s="165"/>
      <c r="I2" s="165"/>
      <c r="J2" s="165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44197</v>
      </c>
      <c r="K4" s="112"/>
      <c r="L4" s="112"/>
      <c r="M4" s="112"/>
      <c r="N4" s="112"/>
    </row>
    <row r="5" spans="1:18">
      <c r="A5" s="1" t="s">
        <v>1</v>
      </c>
      <c r="E5" s="119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2"/>
      <c r="L8" s="166"/>
      <c r="M8" s="112"/>
      <c r="N8" s="112"/>
      <c r="O8" s="72" t="s">
        <v>81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2"/>
      <c r="L9" s="166"/>
      <c r="M9" s="112"/>
      <c r="N9" s="112"/>
      <c r="O9" s="72" t="s">
        <v>82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113064.58</v>
      </c>
      <c r="K10" s="112"/>
      <c r="L10" s="166"/>
      <c r="M10" s="112"/>
      <c r="N10" s="112"/>
      <c r="O10" s="72" t="s">
        <v>83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263338.05</v>
      </c>
      <c r="K11" s="112"/>
      <c r="L11" s="166"/>
      <c r="M11" s="112"/>
      <c r="N11" s="112"/>
      <c r="O11" s="72" t="s">
        <v>84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164361.22</v>
      </c>
      <c r="K12" s="112"/>
      <c r="L12" s="166"/>
      <c r="M12" s="112"/>
      <c r="N12" s="112"/>
      <c r="O12" s="72" t="s">
        <v>85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71586.84</v>
      </c>
      <c r="K13" s="112"/>
      <c r="L13" s="166"/>
      <c r="M13" s="112"/>
      <c r="N13" s="112"/>
      <c r="O13" s="72" t="s">
        <v>86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27389.99</v>
      </c>
      <c r="K14" s="112"/>
      <c r="L14" s="166"/>
      <c r="M14" s="112"/>
      <c r="N14" s="112"/>
      <c r="O14" s="72" t="s">
        <v>87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275391.74</v>
      </c>
      <c r="K15" s="112"/>
      <c r="L15" s="166"/>
      <c r="M15" s="112"/>
      <c r="N15" s="112"/>
      <c r="O15" s="72" t="s">
        <v>88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275391.74</v>
      </c>
      <c r="K16" s="112"/>
      <c r="L16" s="166"/>
      <c r="M16" s="112"/>
      <c r="N16" s="112"/>
      <c r="O16" s="72" t="s">
        <v>89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2"/>
      <c r="L17" s="166"/>
      <c r="M17" s="112"/>
      <c r="N17" s="112"/>
      <c r="O17" s="72" t="s">
        <v>90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2"/>
      <c r="L18" s="166"/>
      <c r="M18" s="112"/>
      <c r="N18" s="112"/>
      <c r="O18" s="72" t="s">
        <v>91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2"/>
      <c r="L19" s="166"/>
      <c r="M19" s="112"/>
      <c r="N19" s="112"/>
      <c r="O19" s="72" t="s">
        <v>92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2"/>
      <c r="L20" s="166"/>
      <c r="M20" s="112"/>
      <c r="N20" s="112"/>
      <c r="O20" s="72" t="s">
        <v>93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275391.74</v>
      </c>
      <c r="K21" s="112"/>
      <c r="L21" s="166"/>
      <c r="M21" s="112"/>
      <c r="N21" s="112"/>
      <c r="O21" s="72" t="s">
        <v>94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2"/>
      <c r="L22" s="166"/>
      <c r="M22" s="112"/>
      <c r="N22" s="112"/>
      <c r="O22" s="72" t="s">
        <v>95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2"/>
      <c r="L23" s="166"/>
      <c r="M23" s="112"/>
      <c r="N23" s="112"/>
      <c r="O23" s="72" t="s">
        <v>96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101010.89000000001</v>
      </c>
      <c r="K24" s="112"/>
      <c r="L24" s="166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2"/>
      <c r="L27" s="167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19702.800000000003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2"/>
      <c r="L28" s="167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0"/>
      <c r="C29" s="150"/>
      <c r="D29" s="150"/>
      <c r="E29" s="150"/>
      <c r="F29" s="155">
        <f>VLOOKUP(A29,ПТО!$A$39:$D$53,2,FALSE)</f>
        <v>52409.399999999994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2"/>
      <c r="L29" s="167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31130.399999999998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2"/>
      <c r="L30" s="167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15762.24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2"/>
      <c r="L31" s="167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2"/>
      <c r="L32" s="167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6304.92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2"/>
      <c r="L33" s="167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30736.32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2"/>
      <c r="L34" s="167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0" t="str">
        <f>ПТО!A46</f>
        <v>Коммунальные ресурсы на содержание общего имущества</v>
      </c>
      <c r="B35" s="150"/>
      <c r="C35" s="150"/>
      <c r="D35" s="150"/>
      <c r="E35" s="150"/>
      <c r="F35" s="155">
        <f>VLOOKUP(A35,ПТО!$A$39:$D$53,2,FALSE)</f>
        <v>24936.092100000002</v>
      </c>
      <c r="G35" s="155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2"/>
      <c r="L35" s="167"/>
      <c r="M35" s="118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2"/>
      <c r="L36" s="167"/>
      <c r="M36" s="118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2"/>
      <c r="L37" s="167"/>
      <c r="M37" s="118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2"/>
      <c r="L38" s="167"/>
      <c r="M38" s="118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2"/>
      <c r="L39" s="167"/>
      <c r="M39" s="118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2"/>
      <c r="L40" s="167"/>
      <c r="M40" s="118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2"/>
      <c r="L41" s="167"/>
      <c r="M41" s="118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2"/>
      <c r="L42" s="167"/>
      <c r="M42" s="118"/>
      <c r="N42" s="112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Техническое обслуживание охранной сигнализации.</v>
      </c>
      <c r="B43" s="150"/>
      <c r="C43" s="150"/>
      <c r="D43" s="150"/>
      <c r="E43" s="150"/>
      <c r="F43" s="155">
        <f>VLOOKUP(A43,ПТО!$A$2:$D$31,4,FALSE)</f>
        <v>4929.12</v>
      </c>
      <c r="G43" s="155"/>
      <c r="H43" s="19" t="str">
        <f>VLOOKUP(A43,ПТО!$A$2:$D$31,2,FALSE)</f>
        <v>ежемесячно</v>
      </c>
      <c r="I43" s="151">
        <f>VLOOKUP(A43,ПТО!$A$2:$D$31,3,FALSE)</f>
        <v>12</v>
      </c>
      <c r="J43" s="151"/>
      <c r="K43" s="112"/>
      <c r="L43" s="167"/>
      <c r="M43" s="118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0" t="str">
        <f>ПТО!A3</f>
        <v>Ремонт прибора учета тепловой энергии.</v>
      </c>
      <c r="B44" s="150"/>
      <c r="C44" s="150"/>
      <c r="D44" s="150"/>
      <c r="E44" s="150"/>
      <c r="F44" s="155">
        <f>VLOOKUP(A44,ПТО!$A$2:$D$31,4,FALSE)</f>
        <v>775</v>
      </c>
      <c r="G44" s="155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2"/>
      <c r="L44" s="167"/>
      <c r="M44" s="118"/>
      <c r="N44" s="112"/>
      <c r="O44" s="23" t="str">
        <f t="shared" si="1"/>
        <v>Ремонт прибора учета тепловой энергии.</v>
      </c>
      <c r="R44" s="22" t="s">
        <v>72</v>
      </c>
    </row>
    <row r="45" spans="1:18" ht="51" customHeight="1" outlineLevel="1">
      <c r="A45" s="150" t="str">
        <f>ПТО!A4</f>
        <v>Приобретение и установка информационного стенда на детскую площадку.</v>
      </c>
      <c r="B45" s="150"/>
      <c r="C45" s="150"/>
      <c r="D45" s="150"/>
      <c r="E45" s="150"/>
      <c r="F45" s="155">
        <f>VLOOKUP(A45,ПТО!$A$2:$D$31,4,FALSE)</f>
        <v>542.4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2"/>
      <c r="L45" s="167"/>
      <c r="M45" s="118"/>
      <c r="N45" s="112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customHeight="1" outlineLevel="1">
      <c r="A46" s="150" t="str">
        <f>ПТО!A5</f>
        <v>Приобретение циркуляционного насоса.</v>
      </c>
      <c r="B46" s="150"/>
      <c r="C46" s="150"/>
      <c r="D46" s="150"/>
      <c r="E46" s="150"/>
      <c r="F46" s="155">
        <f>VLOOKUP(A46,ПТО!$A$2:$D$31,4,FALSE)</f>
        <v>2113.2800000000002</v>
      </c>
      <c r="G46" s="155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2"/>
      <c r="L46" s="167"/>
      <c r="M46" s="118"/>
      <c r="N46" s="112"/>
      <c r="O46" s="23" t="str">
        <f t="shared" si="1"/>
        <v>Приобретение циркуляционного насоса.</v>
      </c>
      <c r="R46" s="22" t="s">
        <v>72</v>
      </c>
    </row>
    <row r="47" spans="1:18" ht="51" customHeight="1" outlineLevel="1">
      <c r="A47" s="150" t="str">
        <f>ПТО!A6</f>
        <v>Перерасчет по итогам 2021 года.</v>
      </c>
      <c r="B47" s="150"/>
      <c r="C47" s="150"/>
      <c r="D47" s="150"/>
      <c r="E47" s="150"/>
      <c r="F47" s="155">
        <f>VLOOKUP(A47,ПТО!$A$2:$D$31,4,FALSE)</f>
        <v>218812.55</v>
      </c>
      <c r="G47" s="155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12"/>
      <c r="L47" s="167"/>
      <c r="M47" s="118"/>
      <c r="N47" s="112"/>
      <c r="O47" s="23" t="str">
        <f t="shared" si="1"/>
        <v>Перерасчет по итогам 2021 года.</v>
      </c>
      <c r="R47" s="22" t="s">
        <v>72</v>
      </c>
    </row>
    <row r="48" spans="1:18" ht="51" hidden="1" customHeight="1" outlineLevel="1">
      <c r="A48" s="150">
        <f>ПТО!A7</f>
        <v>0</v>
      </c>
      <c r="B48" s="150"/>
      <c r="C48" s="150"/>
      <c r="D48" s="150"/>
      <c r="E48" s="150"/>
      <c r="F48" s="155" t="e">
        <f>VLOOKUP(A48,ПТО!$A$2:$D$31,4,FALSE)</f>
        <v>#N/A</v>
      </c>
      <c r="G48" s="155"/>
      <c r="H48" s="25" t="e">
        <f>VLOOKUP(A48,ПТО!$A$2:$D$31,2,FALSE)</f>
        <v>#N/A</v>
      </c>
      <c r="I48" s="151" t="e">
        <f>VLOOKUP(A48,ПТО!$A$2:$D$31,3,FALSE)</f>
        <v>#N/A</v>
      </c>
      <c r="J48" s="151"/>
      <c r="K48" s="112"/>
      <c r="L48" s="167"/>
      <c r="M48" s="118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50">
        <f>ПТО!A8</f>
        <v>0</v>
      </c>
      <c r="B49" s="150"/>
      <c r="C49" s="150"/>
      <c r="D49" s="150"/>
      <c r="E49" s="150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12"/>
      <c r="L49" s="167"/>
      <c r="M49" s="118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2"/>
      <c r="L50" s="167"/>
      <c r="M50" s="118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2"/>
      <c r="L51" s="167"/>
      <c r="M51" s="118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2"/>
      <c r="L52" s="167"/>
      <c r="M52" s="118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2"/>
      <c r="L53" s="167"/>
      <c r="M53" s="118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2"/>
      <c r="L54" s="167"/>
      <c r="M54" s="118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2"/>
      <c r="L55" s="167"/>
      <c r="M55" s="118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2"/>
      <c r="L56" s="167"/>
      <c r="M56" s="118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2"/>
      <c r="L57" s="167"/>
      <c r="M57" s="118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2"/>
      <c r="L58" s="167"/>
      <c r="M58" s="118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2"/>
      <c r="L59" s="167"/>
      <c r="M59" s="118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2"/>
      <c r="L60" s="167"/>
      <c r="M60" s="118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2"/>
      <c r="L61" s="167"/>
      <c r="M61" s="118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2"/>
      <c r="L62" s="167"/>
      <c r="M62" s="118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2"/>
      <c r="L63" s="167"/>
      <c r="M63" s="118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2"/>
      <c r="L64" s="167"/>
      <c r="M64" s="118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2"/>
      <c r="L65" s="167"/>
      <c r="M65" s="118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2"/>
      <c r="L66" s="167"/>
      <c r="M66" s="118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2"/>
      <c r="L67" s="167"/>
      <c r="M67" s="118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2"/>
      <c r="L68" s="167"/>
      <c r="M68" s="118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2"/>
      <c r="L69" s="167"/>
      <c r="M69" s="118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2"/>
      <c r="L70" s="167"/>
      <c r="M70" s="118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8"/>
      <c r="L71" s="167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2"/>
      <c r="L72" s="167"/>
      <c r="M72" s="118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12"/>
      <c r="L75" s="170"/>
      <c r="M75" s="112"/>
      <c r="N75" s="112"/>
      <c r="O75" s="72" t="s">
        <v>98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12"/>
      <c r="L76" s="170"/>
      <c r="M76" s="112"/>
      <c r="N76" s="112"/>
      <c r="O76" s="72" t="s">
        <v>99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12"/>
      <c r="L77" s="170"/>
      <c r="M77" s="112"/>
      <c r="N77" s="112"/>
      <c r="O77" s="72" t="s">
        <v>100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9">
        <f>VLOOKUP(O78,АО,3,FALSE)</f>
        <v>0</v>
      </c>
      <c r="K78" s="112"/>
      <c r="L78" s="170"/>
      <c r="M78" s="112"/>
      <c r="N78" s="112"/>
      <c r="O78" s="72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9">
        <f t="shared" ref="J81:J90" si="2">VLOOKUP(O81,АО,3,FALSE)</f>
        <v>0</v>
      </c>
      <c r="K81" s="112"/>
      <c r="L81" s="156"/>
      <c r="M81" s="112"/>
      <c r="N81" s="112"/>
      <c r="O81" s="72" t="s">
        <v>102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9">
        <f t="shared" si="2"/>
        <v>0</v>
      </c>
      <c r="K82" s="112"/>
      <c r="L82" s="156"/>
      <c r="M82" s="112"/>
      <c r="N82" s="112"/>
      <c r="O82" s="72" t="s">
        <v>103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9">
        <f t="shared" si="2"/>
        <v>107840.01</v>
      </c>
      <c r="K83" s="112"/>
      <c r="L83" s="156"/>
      <c r="M83" s="112"/>
      <c r="N83" s="112"/>
      <c r="O83" s="72" t="s">
        <v>104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9">
        <f t="shared" si="2"/>
        <v>0</v>
      </c>
      <c r="K84" s="112"/>
      <c r="L84" s="156"/>
      <c r="M84" s="112"/>
      <c r="N84" s="112"/>
      <c r="O84" s="72" t="s">
        <v>105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9">
        <f t="shared" si="2"/>
        <v>0</v>
      </c>
      <c r="K85" s="112"/>
      <c r="L85" s="156"/>
      <c r="M85" s="112"/>
      <c r="N85" s="112"/>
      <c r="O85" s="72" t="s">
        <v>106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9">
        <f t="shared" si="2"/>
        <v>82938.509999999995</v>
      </c>
      <c r="K86" s="112"/>
      <c r="L86" s="156"/>
      <c r="M86" s="112"/>
      <c r="N86" s="112"/>
      <c r="O86" s="72" t="s">
        <v>107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2"/>
      <c r="L87" s="156"/>
      <c r="M87" s="112"/>
      <c r="N87" s="112"/>
      <c r="O87" s="72" t="s">
        <v>108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2"/>
      <c r="L88" s="156"/>
      <c r="M88" s="112"/>
      <c r="N88" s="112"/>
      <c r="O88" s="72" t="s">
        <v>109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2"/>
      <c r="L89" s="156"/>
      <c r="M89" s="112"/>
      <c r="N89" s="112"/>
      <c r="O89" s="72" t="s">
        <v>110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9">
        <f t="shared" si="2"/>
        <v>0</v>
      </c>
      <c r="K90" s="112"/>
      <c r="L90" s="156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12"/>
      <c r="L93" s="112"/>
      <c r="M93" s="112"/>
      <c r="N93" s="112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4">
        <f>VLOOKUP("эл",АО,5,FALSE)</f>
        <v>85315.63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71096.36</v>
      </c>
      <c r="L95" s="157"/>
      <c r="O95" s="1" t="s">
        <v>112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99343.75</v>
      </c>
      <c r="L96" s="157"/>
      <c r="O96" s="1" t="s">
        <v>113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0</v>
      </c>
      <c r="L97" s="157"/>
      <c r="O97" s="1" t="s">
        <v>114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85315.63</v>
      </c>
      <c r="L98" s="157"/>
      <c r="O98" s="1" t="s">
        <v>115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85315.63</v>
      </c>
      <c r="L99" s="157"/>
      <c r="O99" s="1" t="s">
        <v>116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117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118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28763.71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2179.0700000000002</v>
      </c>
      <c r="L103" s="157"/>
      <c r="O103" s="1" t="s">
        <v>121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32933.5</v>
      </c>
      <c r="L104" s="157"/>
      <c r="O104" s="1" t="s">
        <v>122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0</v>
      </c>
      <c r="L105" s="157"/>
      <c r="O105" s="1" t="s">
        <v>123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28763.71</v>
      </c>
      <c r="L106" s="157"/>
      <c r="O106" s="1" t="s">
        <v>124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28763.71</v>
      </c>
      <c r="L107" s="157"/>
      <c r="O107" s="1" t="s">
        <v>125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126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127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56746.51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3537.81</v>
      </c>
      <c r="L111" s="157"/>
      <c r="O111" s="1" t="s">
        <v>129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62368.99</v>
      </c>
      <c r="L112" s="157"/>
      <c r="O112" s="1" t="s">
        <v>130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57"/>
      <c r="O113" s="1" t="s">
        <v>131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56746.51</v>
      </c>
      <c r="L114" s="157"/>
      <c r="O114" s="1" t="s">
        <v>132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56746.51</v>
      </c>
      <c r="L115" s="157"/>
      <c r="O115" s="1" t="s">
        <v>133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134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135</v>
      </c>
    </row>
    <row r="118" spans="1:15" ht="32.25" hidden="1" customHeight="1" outlineLevel="1">
      <c r="A118" s="152">
        <f>IF(VLOOKUP("тко",АО,3,FALSE)&gt;0,"Обращение с ТКО",0)</f>
        <v>0</v>
      </c>
      <c r="B118" s="152"/>
      <c r="C118" s="152"/>
      <c r="D118" s="153">
        <f>IF(VLOOKUP("тко",АО,3,FALSE)&gt;0,VLOOKUP("тко",АО,3,FALSE),0)</f>
        <v>0</v>
      </c>
      <c r="E118" s="153"/>
      <c r="F118" s="13">
        <f>IF(VLOOKUP("тко",АО,3,FALSE)&gt;0,VLOOKUP("тко",АО,4,FALSE),0)</f>
        <v>0</v>
      </c>
      <c r="G118" s="154">
        <f>VLOOKUP("тко",АО,5,FALSE)</f>
        <v>0</v>
      </c>
      <c r="H118" s="153"/>
      <c r="I118" s="153"/>
      <c r="J118" s="153"/>
      <c r="L118" s="49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9"/>
      <c r="O125" s="1" t="s">
        <v>143</v>
      </c>
    </row>
    <row r="126" spans="1:15" ht="32.25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3" t="str">
        <f>IF(VLOOKUP("гвс",АО,3,FALSE)&gt;0,VLOOKUP("гвс",АО,3,FALSE),0)</f>
        <v>Предоставляется</v>
      </c>
      <c r="E126" s="153"/>
      <c r="F126" s="13" t="str">
        <f>IF(VLOOKUP("гвс",АО,3,FALSE)&gt;0,VLOOKUP("гвс",АО,4,FALSE),0)</f>
        <v>куб.м.</v>
      </c>
      <c r="G126" s="154">
        <f>VLOOKUP("гвс",АО,5,FALSE)</f>
        <v>18035.86</v>
      </c>
      <c r="H126" s="153"/>
      <c r="I126" s="153"/>
      <c r="J126" s="153"/>
      <c r="L126" s="49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1366.35</v>
      </c>
      <c r="L127" s="49"/>
      <c r="O127" s="1" t="s">
        <v>145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19116.97</v>
      </c>
      <c r="L128" s="49"/>
      <c r="O128" s="1" t="s">
        <v>146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9"/>
      <c r="O129" s="1" t="s">
        <v>147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18035.86</v>
      </c>
      <c r="L130" s="49"/>
      <c r="O130" s="1" t="s">
        <v>148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18035.86</v>
      </c>
      <c r="L131" s="49"/>
      <c r="O131" s="1" t="s">
        <v>149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9"/>
      <c r="O132" s="1" t="s">
        <v>150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9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1</v>
      </c>
      <c r="O144" t="s">
        <v>169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48" t="s">
        <v>172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1907.71</v>
      </c>
      <c r="O146" t="s">
        <v>171</v>
      </c>
    </row>
    <row r="149" spans="1:15" ht="52.5" customHeight="1">
      <c r="A149" s="173" t="s">
        <v>180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5" t="s">
        <v>181</v>
      </c>
      <c r="B154" s="175"/>
      <c r="C154" s="175"/>
      <c r="D154" s="175"/>
      <c r="E154" s="27">
        <f>ПТО!G1</f>
        <v>-155585.51</v>
      </c>
    </row>
    <row r="155" spans="1:15" ht="34.5" customHeight="1">
      <c r="A155" s="174" t="s">
        <v>185</v>
      </c>
      <c r="B155" s="174"/>
      <c r="C155" s="174"/>
      <c r="D155" s="174"/>
      <c r="E155" s="28">
        <f>J13</f>
        <v>71586.84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Техническое обслуживание охранной сигнализации.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4929.12</v>
      </c>
      <c r="G158" s="155"/>
      <c r="H158" s="24" t="str">
        <f t="shared" ref="H158:H187" si="16">VLOOKUP(A158,$A$28:$J$72,8,FALSE)</f>
        <v>ежемесячно</v>
      </c>
      <c r="I158" s="151">
        <f t="shared" ref="I158:I161" si="17">VLOOKUP(A158,$A$28:$J$72,9,FALSE)</f>
        <v>12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0" t="str">
        <f t="shared" si="14"/>
        <v>Ремонт прибора учета тепловой энергии.</v>
      </c>
      <c r="B159" s="150"/>
      <c r="C159" s="150"/>
      <c r="D159" s="150"/>
      <c r="E159" s="150"/>
      <c r="F159" s="155">
        <f t="shared" si="15"/>
        <v>775</v>
      </c>
      <c r="G159" s="155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Ремонт прибора учета тепловой энергии.</v>
      </c>
    </row>
    <row r="160" spans="1:15" ht="28.5" customHeight="1">
      <c r="A160" s="150" t="str">
        <f t="shared" si="14"/>
        <v>Приобретение и установка информационного стенда на детскую площадку.</v>
      </c>
      <c r="B160" s="150"/>
      <c r="C160" s="150"/>
      <c r="D160" s="150"/>
      <c r="E160" s="150"/>
      <c r="F160" s="155">
        <f t="shared" si="15"/>
        <v>542.4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customHeight="1">
      <c r="A161" s="150" t="str">
        <f>IF(N161&gt;0,N161,0)</f>
        <v>Приобретение циркуляционного насоса.</v>
      </c>
      <c r="B161" s="150"/>
      <c r="C161" s="150"/>
      <c r="D161" s="150"/>
      <c r="E161" s="150"/>
      <c r="F161" s="155">
        <f t="shared" si="15"/>
        <v>2113.2800000000002</v>
      </c>
      <c r="G161" s="155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Приобретение циркуляционного насоса.</v>
      </c>
    </row>
    <row r="162" spans="1:14" ht="28.5" customHeight="1">
      <c r="A162" s="150" t="str">
        <f t="shared" si="14"/>
        <v>Перерасчет по итогам 2021 года.</v>
      </c>
      <c r="B162" s="150"/>
      <c r="C162" s="150"/>
      <c r="D162" s="150"/>
      <c r="E162" s="150"/>
      <c r="F162" s="155">
        <f t="shared" si="15"/>
        <v>218812.55</v>
      </c>
      <c r="G162" s="155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Перерасчет по итогам 2021 года.</v>
      </c>
    </row>
    <row r="163" spans="1:14" ht="28.5" hidden="1" customHeight="1">
      <c r="A163" s="150">
        <f t="shared" si="14"/>
        <v>0</v>
      </c>
      <c r="B163" s="150"/>
      <c r="C163" s="150"/>
      <c r="D163" s="150"/>
      <c r="E163" s="150"/>
      <c r="F163" s="155">
        <f t="shared" si="15"/>
        <v>0</v>
      </c>
      <c r="G163" s="155"/>
      <c r="H163" s="24" t="e">
        <f t="shared" si="16"/>
        <v>#N/A</v>
      </c>
      <c r="I163" s="151" t="e">
        <f>VLOOKUP(A163,$A$28:$J$72,9,FALSE)</f>
        <v>#N/A</v>
      </c>
      <c r="J163" s="151"/>
      <c r="M163" s="22" t="s">
        <v>72</v>
      </c>
      <c r="N163" s="1">
        <v>0</v>
      </c>
    </row>
    <row r="164" spans="1:14" ht="28.5" hidden="1" customHeight="1">
      <c r="A164" s="150">
        <f t="shared" ref="A164:A187" si="18">IF(N164&gt;0,N164,0)</f>
        <v>0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72</v>
      </c>
      <c r="N164" s="1">
        <v>0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5">
        <f t="shared" si="19"/>
        <v>0</v>
      </c>
      <c r="G165" s="155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75" t="s">
        <v>184</v>
      </c>
      <c r="B190" s="175"/>
      <c r="C190" s="175"/>
      <c r="D190" s="175"/>
      <c r="E190" s="27">
        <f>SUM(F158:G187)</f>
        <v>227172.34999999998</v>
      </c>
    </row>
    <row r="191" spans="1:14" ht="51.75" customHeight="1">
      <c r="A191" s="175" t="s">
        <v>183</v>
      </c>
      <c r="B191" s="175"/>
      <c r="C191" s="175"/>
      <c r="D191" s="175"/>
      <c r="E191" s="27">
        <f>E190+E154-E155</f>
        <v>0</v>
      </c>
    </row>
    <row r="192" spans="1:14">
      <c r="A192" s="107" t="s">
        <v>173</v>
      </c>
    </row>
    <row r="193" spans="1:10" ht="62.25" customHeight="1">
      <c r="A193" s="149" t="s">
        <v>182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>
      <c r="A194" s="147" t="str">
        <f>ПТО!F12</f>
        <v xml:space="preserve">  -  поверка (замена) манометров и термометров</v>
      </c>
      <c r="B194" s="147"/>
      <c r="C194" s="147"/>
      <c r="D194" s="147"/>
      <c r="E194" s="147"/>
      <c r="F194" s="147"/>
      <c r="G194" s="147"/>
      <c r="H194" s="51">
        <f>ПТО!G12</f>
        <v>1200</v>
      </c>
      <c r="I194" s="52" t="s">
        <v>74</v>
      </c>
    </row>
    <row r="195" spans="1:10" ht="18.75" customHeight="1">
      <c r="A195" s="147" t="str">
        <f>ПТО!F13</f>
        <v xml:space="preserve">  -  техническое обслуживание охранной сигнализации</v>
      </c>
      <c r="B195" s="147"/>
      <c r="C195" s="147"/>
      <c r="D195" s="147"/>
      <c r="E195" s="147"/>
      <c r="F195" s="147"/>
      <c r="G195" s="147"/>
      <c r="H195" s="51">
        <f>ПТО!G13</f>
        <v>5000</v>
      </c>
      <c r="I195" s="52" t="s">
        <v>74</v>
      </c>
    </row>
    <row r="196" spans="1:10" ht="18.75" hidden="1" customHeight="1">
      <c r="A196" s="147">
        <f>ПТО!F14</f>
        <v>0</v>
      </c>
      <c r="B196" s="147"/>
      <c r="C196" s="147"/>
      <c r="D196" s="147"/>
      <c r="E196" s="147"/>
      <c r="F196" s="147"/>
      <c r="G196" s="147"/>
      <c r="H196" s="51">
        <f>ПТО!G14</f>
        <v>0</v>
      </c>
      <c r="I196" s="52" t="s">
        <v>74</v>
      </c>
    </row>
    <row r="197" spans="1:10" ht="18.75" hidden="1" customHeight="1">
      <c r="A197" s="147">
        <f>ПТО!F15</f>
        <v>0</v>
      </c>
      <c r="B197" s="147"/>
      <c r="C197" s="147"/>
      <c r="D197" s="147"/>
      <c r="E197" s="147"/>
      <c r="F197" s="147"/>
      <c r="G197" s="147"/>
      <c r="H197" s="51">
        <f>ПТО!G15</f>
        <v>0</v>
      </c>
      <c r="I197" s="52" t="s">
        <v>74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51">
        <f>ПТО!G16</f>
        <v>0</v>
      </c>
      <c r="I198" s="54" t="s">
        <v>74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51">
        <f>ПТО!G17</f>
        <v>0</v>
      </c>
      <c r="I199" s="52" t="s">
        <v>74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51">
        <f>ПТО!G18</f>
        <v>0</v>
      </c>
      <c r="I200" s="52" t="s">
        <v>74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51">
        <f>ПТО!G19</f>
        <v>0</v>
      </c>
      <c r="I201" s="52" t="s">
        <v>74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51">
        <f>ПТО!G20</f>
        <v>0</v>
      </c>
      <c r="I202" s="52" t="s">
        <v>74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51">
        <f>ПТО!G21</f>
        <v>0</v>
      </c>
      <c r="I203" s="52" t="s">
        <v>74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51">
        <f>ПТО!G22</f>
        <v>0</v>
      </c>
      <c r="I204" s="52" t="s">
        <v>74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51">
        <f>ПТО!G23</f>
        <v>0</v>
      </c>
      <c r="I205" s="52" t="s">
        <v>74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51">
        <f>ПТО!G24</f>
        <v>0</v>
      </c>
      <c r="I206" s="52" t="s">
        <v>74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51">
        <f>ПТО!G25</f>
        <v>0</v>
      </c>
      <c r="I207" s="52" t="s">
        <v>74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51">
        <f>ПТО!G26</f>
        <v>0</v>
      </c>
      <c r="I208" s="52" t="s">
        <v>74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51">
        <f>ПТО!G27</f>
        <v>0</v>
      </c>
      <c r="I209" s="52" t="s">
        <v>74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51">
        <f>ПТО!G28</f>
        <v>0</v>
      </c>
      <c r="I210" s="52" t="s">
        <v>74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51">
        <f>ПТО!G29</f>
        <v>0</v>
      </c>
      <c r="I211" s="52" t="s">
        <v>74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51">
        <f>ПТО!G30</f>
        <v>0</v>
      </c>
      <c r="I212" s="52" t="s">
        <v>74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6200</v>
      </c>
      <c r="I214" s="58" t="s">
        <v>76</v>
      </c>
    </row>
  </sheetData>
  <sheetProtection algorithmName="SHA-512" hashValue="6XvXUyh1D/4ybZqKK0sf24RwLxP4HFosZjxhcaooXfitVoGjyZ6+k0lJMnDKU/HmyZGcwatLcja99Ch3OcL0Cw==" saltValue="q+MS6Qj+09cFeF424UXy+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-155585.51</f>
        <v>-155585.51</v>
      </c>
    </row>
    <row r="2" spans="1:12" ht="18.75" customHeight="1">
      <c r="A2" s="123" t="s">
        <v>179</v>
      </c>
      <c r="B2" s="121" t="s">
        <v>176</v>
      </c>
      <c r="C2" s="122">
        <v>12</v>
      </c>
      <c r="D2" s="120">
        <v>4929.12</v>
      </c>
      <c r="E2" s="31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186</v>
      </c>
      <c r="B3" s="127" t="s">
        <v>187</v>
      </c>
      <c r="C3" s="128">
        <v>1</v>
      </c>
      <c r="D3" s="129">
        <v>775</v>
      </c>
      <c r="E3" s="130" t="s">
        <v>188</v>
      </c>
      <c r="F3" s="30"/>
      <c r="G3" s="30"/>
      <c r="L3" s="33" t="str">
        <f t="shared" si="0"/>
        <v>ТР</v>
      </c>
    </row>
    <row r="4" spans="1:12" ht="18.75" customHeight="1">
      <c r="A4" s="133" t="s">
        <v>189</v>
      </c>
      <c r="B4" s="131" t="s">
        <v>187</v>
      </c>
      <c r="C4" s="132">
        <v>1</v>
      </c>
      <c r="D4" s="134">
        <v>542.4</v>
      </c>
      <c r="E4" s="135" t="s">
        <v>190</v>
      </c>
      <c r="F4" s="30"/>
      <c r="G4" s="30"/>
      <c r="L4" s="33" t="str">
        <f t="shared" si="0"/>
        <v>ТР</v>
      </c>
    </row>
    <row r="5" spans="1:12" ht="18.75" customHeight="1">
      <c r="A5" s="144" t="s">
        <v>201</v>
      </c>
      <c r="B5" s="136" t="s">
        <v>187</v>
      </c>
      <c r="C5" s="137">
        <v>1</v>
      </c>
      <c r="D5" s="138">
        <v>2113.2800000000002</v>
      </c>
      <c r="E5" s="139" t="s">
        <v>191</v>
      </c>
      <c r="F5" s="46"/>
      <c r="G5" s="46"/>
      <c r="K5" s="48"/>
      <c r="L5" s="33" t="str">
        <f t="shared" si="0"/>
        <v>ТР</v>
      </c>
    </row>
    <row r="6" spans="1:12" ht="18.75" customHeight="1">
      <c r="A6" s="145" t="s">
        <v>202</v>
      </c>
      <c r="B6" s="146" t="s">
        <v>187</v>
      </c>
      <c r="C6" s="43">
        <v>1</v>
      </c>
      <c r="D6" s="44">
        <v>218812.55</v>
      </c>
      <c r="E6" s="46" t="s">
        <v>203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182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178</v>
      </c>
      <c r="G13" s="116">
        <v>5000</v>
      </c>
      <c r="L13" s="33">
        <f t="shared" si="0"/>
        <v>0</v>
      </c>
    </row>
    <row r="14" spans="1:12" ht="15.75">
      <c r="A14" s="30"/>
      <c r="F14" s="124"/>
      <c r="G14" s="125"/>
      <c r="L14" s="33">
        <f t="shared" si="0"/>
        <v>0</v>
      </c>
    </row>
    <row r="15" spans="1:12" ht="15.75">
      <c r="A15" s="30"/>
      <c r="F15" s="124"/>
      <c r="G15" s="125"/>
      <c r="L15" s="33">
        <f t="shared" si="0"/>
        <v>0</v>
      </c>
    </row>
    <row r="16" spans="1:12" ht="15.75">
      <c r="A16" s="30"/>
      <c r="F16" s="124"/>
      <c r="G16" s="125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19702.800000000003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19702.800000000003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52409.399999999994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52409.399999999994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31130.399999999998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31130.399999999998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15762.24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15762.24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6304.92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6304.92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30736.32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30736.32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193</v>
      </c>
      <c r="B46" s="140">
        <f>(E46*G52*F54*6+E46*G52*G54*6)+(F46*G58*F60*6+F46*G58*G60*6)+(F46*G62*F64*6+F46*G62*G64*6)</f>
        <v>24936.092100000002</v>
      </c>
      <c r="C46" s="141" t="s">
        <v>68</v>
      </c>
      <c r="D46" s="50">
        <v>12</v>
      </c>
      <c r="E46" s="140">
        <v>586.4</v>
      </c>
      <c r="F46" s="140">
        <v>145.4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24936.092100000002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2"/>
      <c r="C47" s="141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3" t="s">
        <v>194</v>
      </c>
      <c r="F51" s="143" t="s">
        <v>195</v>
      </c>
      <c r="G51" s="143" t="s">
        <v>196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3"/>
      <c r="F52" s="140">
        <v>1129.2</v>
      </c>
      <c r="G52" s="143">
        <v>2.5</v>
      </c>
      <c r="H52" s="143">
        <f>G52*E46/F52</f>
        <v>1.2982642578816861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3"/>
      <c r="F53" s="143" t="s">
        <v>197</v>
      </c>
      <c r="G53" s="143" t="s">
        <v>198</v>
      </c>
      <c r="H53" s="143">
        <f>H52*G55</f>
        <v>27.263549415515406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3"/>
      <c r="F54" s="143">
        <v>1.17</v>
      </c>
      <c r="G54" s="143">
        <v>1.23</v>
      </c>
      <c r="H54" s="143"/>
    </row>
    <row r="55" spans="5:16">
      <c r="E55" s="143"/>
      <c r="F55" s="143"/>
      <c r="G55" s="143">
        <v>21</v>
      </c>
      <c r="H55" s="143"/>
    </row>
    <row r="56" spans="5:16">
      <c r="E56" s="143"/>
      <c r="F56" s="143"/>
      <c r="G56" s="143"/>
      <c r="H56" s="143"/>
    </row>
    <row r="57" spans="5:16">
      <c r="E57" s="143" t="s">
        <v>199</v>
      </c>
      <c r="F57" s="143"/>
      <c r="G57" s="143"/>
      <c r="H57" s="143"/>
    </row>
    <row r="58" spans="5:16">
      <c r="E58" s="143"/>
      <c r="F58" s="140">
        <f>F52</f>
        <v>1129.2</v>
      </c>
      <c r="G58" s="143">
        <v>7.4999999999999997E-2</v>
      </c>
      <c r="H58" s="143">
        <f>G58*F46</f>
        <v>10.904999999999999</v>
      </c>
    </row>
    <row r="59" spans="5:16">
      <c r="E59" s="143"/>
      <c r="F59" s="143" t="s">
        <v>197</v>
      </c>
      <c r="G59" s="143" t="s">
        <v>198</v>
      </c>
      <c r="H59" s="143">
        <f>H58/F58</f>
        <v>9.6572794899043562E-3</v>
      </c>
    </row>
    <row r="60" spans="5:16">
      <c r="E60" s="143"/>
      <c r="F60" s="143">
        <v>12.94</v>
      </c>
      <c r="G60" s="143">
        <v>13.45</v>
      </c>
      <c r="H60" s="143">
        <f>H59*G55</f>
        <v>0.20280286928799149</v>
      </c>
    </row>
    <row r="61" spans="5:16">
      <c r="E61" s="143" t="s">
        <v>200</v>
      </c>
      <c r="F61" s="143"/>
      <c r="G61" s="143"/>
      <c r="H61" s="143"/>
    </row>
    <row r="62" spans="5:16">
      <c r="E62" s="143"/>
      <c r="F62" s="140">
        <f>F52</f>
        <v>1129.2</v>
      </c>
      <c r="G62" s="143">
        <v>7.4999999999999997E-2</v>
      </c>
      <c r="H62" s="143">
        <f>G62*F46</f>
        <v>10.904999999999999</v>
      </c>
    </row>
    <row r="63" spans="5:16">
      <c r="E63" s="143"/>
      <c r="F63" s="143" t="s">
        <v>197</v>
      </c>
      <c r="G63" s="143" t="s">
        <v>198</v>
      </c>
      <c r="H63" s="143">
        <f>H62/F62</f>
        <v>9.6572794899043562E-3</v>
      </c>
    </row>
    <row r="64" spans="5:16">
      <c r="E64" s="143"/>
      <c r="F64" s="143">
        <v>15.73</v>
      </c>
      <c r="G64" s="143">
        <v>16.350000000000001</v>
      </c>
      <c r="H64" s="143">
        <f>H63*G55</f>
        <v>0.20280286928799149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1" sqref="D3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1094.5999999999999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113064.58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263338.05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164361.22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71586.84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27389.99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275391.74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275391.74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275391.74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101010.89000000001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8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8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8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8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7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7"/>
      <c r="N26" s="65"/>
    </row>
    <row r="27" spans="1:15" ht="18.75" customHeight="1">
      <c r="A27" s="72" t="s">
        <v>104</v>
      </c>
      <c r="B27" s="77" t="s">
        <v>4</v>
      </c>
      <c r="C27" s="88">
        <v>107840.01</v>
      </c>
      <c r="D27" s="83" t="s">
        <v>60</v>
      </c>
      <c r="E27" s="66"/>
      <c r="F27" s="66"/>
      <c r="G27" s="66"/>
      <c r="H27" s="66"/>
      <c r="I27" s="66"/>
      <c r="J27" s="66"/>
      <c r="M27" s="177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7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7"/>
      <c r="N29" s="65"/>
    </row>
    <row r="30" spans="1:15" ht="18.75" customHeight="1">
      <c r="A30" s="72" t="s">
        <v>107</v>
      </c>
      <c r="B30" s="77" t="s">
        <v>18</v>
      </c>
      <c r="C30" s="88">
        <v>82938.509999999995</v>
      </c>
      <c r="D30" s="83" t="s">
        <v>66</v>
      </c>
      <c r="E30" s="66"/>
      <c r="F30" s="66"/>
      <c r="G30" s="66"/>
      <c r="H30" s="66"/>
      <c r="I30" s="66"/>
      <c r="J30" s="66"/>
      <c r="M30" s="177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7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7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7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7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85315.63</v>
      </c>
      <c r="F37" s="96" t="s">
        <v>166</v>
      </c>
      <c r="G37" s="68"/>
      <c r="H37" s="68"/>
      <c r="I37" s="68"/>
      <c r="L37" s="65"/>
      <c r="M37" s="176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71096.36</v>
      </c>
      <c r="D38" s="96" t="s">
        <v>164</v>
      </c>
      <c r="E38" s="70"/>
      <c r="G38" s="69"/>
      <c r="H38" s="69"/>
      <c r="L38" s="65"/>
      <c r="M38" s="176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99343.75</v>
      </c>
      <c r="D39" s="96" t="s">
        <v>165</v>
      </c>
      <c r="E39" s="70"/>
      <c r="G39" s="69"/>
      <c r="H39" s="69"/>
      <c r="L39" s="65"/>
      <c r="M39" s="176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6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85315.63</v>
      </c>
      <c r="D41" s="82" t="s">
        <v>59</v>
      </c>
      <c r="E41" s="70"/>
      <c r="G41" s="69"/>
      <c r="H41" s="69"/>
      <c r="L41" s="65"/>
      <c r="M41" s="176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85315.63</v>
      </c>
      <c r="D42" s="82" t="s">
        <v>59</v>
      </c>
      <c r="E42" s="70"/>
      <c r="G42" s="69"/>
      <c r="H42" s="69"/>
      <c r="L42" s="65"/>
      <c r="M42" s="176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6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6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28763.71</v>
      </c>
      <c r="F45" s="96" t="s">
        <v>166</v>
      </c>
      <c r="G45" s="68"/>
      <c r="H45" s="68"/>
      <c r="L45" s="65"/>
      <c r="M45" s="176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2179.0700000000002</v>
      </c>
      <c r="D46" s="96" t="s">
        <v>167</v>
      </c>
      <c r="E46" s="70"/>
      <c r="G46" s="69"/>
      <c r="H46" s="69"/>
      <c r="L46" s="65"/>
      <c r="M46" s="176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32933.5</v>
      </c>
      <c r="D47" s="96" t="s">
        <v>165</v>
      </c>
      <c r="E47" s="70"/>
      <c r="G47" s="69"/>
      <c r="H47" s="69"/>
      <c r="L47" s="65"/>
      <c r="M47" s="176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6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28763.71</v>
      </c>
      <c r="D49" s="82" t="s">
        <v>59</v>
      </c>
      <c r="E49" s="70"/>
      <c r="G49" s="69"/>
      <c r="H49" s="69"/>
      <c r="L49" s="65"/>
      <c r="M49" s="176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28763.71</v>
      </c>
      <c r="D50" s="82" t="s">
        <v>59</v>
      </c>
      <c r="E50" s="70"/>
      <c r="G50" s="69"/>
      <c r="H50" s="69"/>
      <c r="L50" s="65"/>
      <c r="M50" s="176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6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6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56746.51</v>
      </c>
      <c r="F53" s="96" t="s">
        <v>166</v>
      </c>
      <c r="G53" s="68"/>
      <c r="H53" s="68"/>
      <c r="L53" s="65"/>
      <c r="M53" s="176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3537.81</v>
      </c>
      <c r="D54" s="96" t="s">
        <v>167</v>
      </c>
      <c r="E54" s="71"/>
      <c r="F54" s="91"/>
      <c r="G54" s="66"/>
      <c r="H54" s="66"/>
      <c r="L54" s="65"/>
      <c r="M54" s="176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62368.99</v>
      </c>
      <c r="D55" s="96" t="s">
        <v>165</v>
      </c>
      <c r="E55" s="71"/>
      <c r="G55" s="66"/>
      <c r="H55" s="66"/>
      <c r="L55" s="65"/>
      <c r="M55" s="176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6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56746.51</v>
      </c>
      <c r="D57" s="82" t="s">
        <v>59</v>
      </c>
      <c r="E57" s="71"/>
      <c r="G57" s="66"/>
      <c r="H57" s="66"/>
      <c r="L57" s="65"/>
      <c r="M57" s="176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56746.51</v>
      </c>
      <c r="D58" s="82" t="s">
        <v>59</v>
      </c>
      <c r="E58" s="71"/>
      <c r="G58" s="66"/>
      <c r="H58" s="66"/>
      <c r="L58" s="65"/>
      <c r="M58" s="176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6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6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 t="str">
        <f>IF(E69&gt;0,"Предоставляется",0)</f>
        <v>Предоставляется</v>
      </c>
      <c r="D69" s="98" t="s">
        <v>55</v>
      </c>
      <c r="E69" s="97">
        <v>18035.86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1366.35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19116.97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18035.86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18035.86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2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1907.71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2022-03-28T02:09:43Z</dcterms:modified>
</cp:coreProperties>
</file>