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9" i="1" l="1"/>
  <c r="A123" i="1"/>
  <c r="A118" i="1"/>
  <c r="D110" i="1"/>
  <c r="A112" i="1"/>
  <c r="A116" i="1"/>
  <c r="F110" i="1"/>
  <c r="A113" i="1"/>
  <c r="D118" i="1"/>
  <c r="A120" i="1"/>
  <c r="A124" i="1"/>
  <c r="F118" i="1"/>
  <c r="A121" i="1"/>
  <c r="A125" i="1"/>
  <c r="A141" i="1"/>
  <c r="F134" i="1"/>
  <c r="A137" i="1"/>
  <c r="A106" i="1"/>
  <c r="F94" i="1"/>
  <c r="A97" i="1"/>
  <c r="A101" i="1"/>
  <c r="A102" i="1"/>
  <c r="A103" i="1"/>
  <c r="A107" i="1"/>
  <c r="A134" i="1"/>
  <c r="A135" i="1"/>
  <c r="A139" i="1"/>
  <c r="A138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<sst xmlns="http://schemas.openxmlformats.org/spreadsheetml/2006/main" count="552" uniqueCount="201">
  <si>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</si>
  <si>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</si>
  <si>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</si>
  <si>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</si>
  <si>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</si>
  <si>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</si>
  <si>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</si>
  <si>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</si>
  <si>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</si>
  <si>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</si>
  <si>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</si>
  <si>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</si>
  <si>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</si>
  <si>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</si>
  <si>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</si>
  <si>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</si>
  <si>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</si>
  <si>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</si>
  <si>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</si>
  <si>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</si>
  <si>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</si>
  <si>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</si>
  <si>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</si>
  <si>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</si>
  <si>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</si>
  <si>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</si>
  <si>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</si>
  <si>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</si>
  <si>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</si>
  <si>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</si>
  <si>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</si>
  <si>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</si>
  <si>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</si>
  <si>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</si>
  <si>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</si>
  <si>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</si>
  <si>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</si>
  <si>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</si>
  <si>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</si>
  <si>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</si>
  <si>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</si>
  <si>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</si>
  <si>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</si>
  <si>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</si>
  <si>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</si>
  <si>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</si>
  <si>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</si>
  <si>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</si>
  <si>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</si>
  <si>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</si>
  <si>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</si>
  <si>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</si>
  <si>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</si>
  <si>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</si>
  <si>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</si>
  <si>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</si>
  <si>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</si>
  <si>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</si>
  <si>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</si>
  <si>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</si>
  <si>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</si>
  <si>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</si>
  <si>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</si>
  <si>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</si>
  <si>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</si>
  <si>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</si>
  <si>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</si>
  <si>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</si>
  <si>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</si>
  <si>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</si>
  <si>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</si>
  <si>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</si>
  <si>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</si>
  <si>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</si>
  <si>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</si>
  <si>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</si>
  <si>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</si>
  <si>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</si>
  <si>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</si>
  <si>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</si>
  <si>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</si>
  <si>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</si>
  <si>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</si>
  <si>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</si>
  <si>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</si>
  <si>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</si>
  <si>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</si>
  <si>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</si>
  <si>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</si>
  <si>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</si>
  <si>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</si>
  <si>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</si>
  <si>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</si>
  <si>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</si>
  <si>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</si>
  <si>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</si>
  <si>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</si>
  <si>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</si>
  <si>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</si>
  <si>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</si>
  <si>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</si>
  <si>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</si>
  <si>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</si>
  <si>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</si>
  <si>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</si>
  <si>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</si>
  <si>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</si>
  <si>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</si>
  <si>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</si>
  <si>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</si>
  <si>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</si>
  <si>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</si>
  <si>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</si>
  <si>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</si>
  <si>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</si>
  <si>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</si>
  <si>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</si>
  <si>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</si>
  <si>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</si>
  <si>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</si>
  <si>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</si>
  <si>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</si>
  <si>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</si>
  <si>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</si>
  <si>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</si>
  <si>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</si>
  <si>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</si>
  <si>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</si>
  <si>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</si>
  <si>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</si>
  <si>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</si>
  <si>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</si>
  <si>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</si>
  <si>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</si>
  <si>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</si>
  <si>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</si>
  <si>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</si>
  <si>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</si>
  <si>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</si>
  <si>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</si>
  <si>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</si>
  <si>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</si>
  <si>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</si>
  <si>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</si>
  <si>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</si>
  <si>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</si>
  <si>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</si>
  <si>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</si>
  <si>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</si>
  <si>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</si>
  <si>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</si>
  <si>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</si>
  <si>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</si>
  <si>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</si>
  <si>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</si>
  <si>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</si>
  <si>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</si>
  <si>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</si>
  <si>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</si>
  <si>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</si>
  <si>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</si>
  <si>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</si>
  <si>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</si>
  <si>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</si>
  <si>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</si>
  <si>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</si>
  <si>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</si>
  <si>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</si>
  <si>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</si>
  <si>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</si>
  <si>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</si>
  <si>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</si>
  <si>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</si>
  <si>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</si>
  <si>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117</t>
  </si>
  <si>
    <t>Работы (услуги) по управлению многоквартирным домом</t>
  </si>
  <si>
    <t>ежемесячно</t>
  </si>
  <si>
    <t>с 1,01,2016 Т.Р. 3,45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</si>
  <si>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</si>
  <si>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</si>
  <si>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</si>
  <si>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117 в части текущего ремонта</t>
  </si>
  <si>
    <t>разово</t>
  </si>
  <si>
    <t>Аварийный ремонт теплообменника ГВС.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</si>
  <si>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</si>
  <si>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</si>
  <si>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</si>
  <si>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</si>
  <si>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</si>
  <si>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АВР 1/21 от 13.07.2021, счет №852 от 07.09.2020</t>
  </si>
  <si>
    <t>Приобретение и установка информационного стенда на детскую площадку.</t>
  </si>
  <si>
    <t>АВР 2/21 от 29.11.2021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</si>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</sst>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" fillId="0" borderId="0"/>
  </cellStyleXfs>
  <cellXfs count="16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30" fillId="0" borderId="0" xfId="9" applyFont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4" fontId="0" fillId="0" borderId="0" xfId="0" applyNumberFormat="1" applyBorder="1" applyAlignment="1">
      <alignment horizontal="center"/>
    </xf>
    <xf numFmtId="4" fontId="22" fillId="3" borderId="0" xfId="10" applyNumberFormat="1" applyFont="1" applyFill="1" applyBorder="1" applyAlignment="1">
      <alignment horizontal="left" vertical="center" wrapText="1"/>
    </xf>
    <xf numFmtId="4" fontId="31" fillId="0" borderId="0" xfId="0" applyNumberFormat="1" applyFont="1"/>
    <xf numFmtId="0" fontId="0" fillId="0" borderId="0" xfId="0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5 2" xfId="10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N29" sqref="N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7" t="s">
        <v>174</v>
      </c>
      <c r="B2" s="157"/>
      <c r="C2" s="157"/>
      <c r="D2" s="157"/>
      <c r="E2" s="157"/>
      <c r="F2" s="157"/>
      <c r="G2" s="157"/>
      <c r="H2" s="157"/>
      <c r="I2" s="157"/>
      <c r="J2" s="157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1"/>
      <c r="L8" s="158"/>
      <c r="M8" s="111"/>
      <c r="N8" s="111"/>
      <c r="O8" s="71" t="s">
        <v>81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1"/>
      <c r="L9" s="158"/>
      <c r="M9" s="111"/>
      <c r="N9" s="111"/>
      <c r="O9" s="71" t="s">
        <v>82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84328.88</v>
      </c>
      <c r="K10" s="111"/>
      <c r="L10" s="158"/>
      <c r="M10" s="111"/>
      <c r="N10" s="111"/>
      <c r="O10" s="71" t="s">
        <v>83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145097.09</v>
      </c>
      <c r="K11" s="111"/>
      <c r="L11" s="158"/>
      <c r="M11" s="111"/>
      <c r="N11" s="111"/>
      <c r="O11" s="71" t="s">
        <v>84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116858.15</v>
      </c>
      <c r="K12" s="111"/>
      <c r="L12" s="158"/>
      <c r="M12" s="111"/>
      <c r="N12" s="111"/>
      <c r="O12" s="71" t="s">
        <v>85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28238.940000000002</v>
      </c>
      <c r="K13" s="111"/>
      <c r="L13" s="158"/>
      <c r="M13" s="111"/>
      <c r="N13" s="111"/>
      <c r="O13" s="71" t="s">
        <v>86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1"/>
      <c r="L14" s="158"/>
      <c r="M14" s="111"/>
      <c r="N14" s="111"/>
      <c r="O14" s="71" t="s">
        <v>87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141946.84</v>
      </c>
      <c r="K15" s="111"/>
      <c r="L15" s="158"/>
      <c r="M15" s="111"/>
      <c r="N15" s="111"/>
      <c r="O15" s="71" t="s">
        <v>88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141946.84</v>
      </c>
      <c r="K16" s="111"/>
      <c r="L16" s="158"/>
      <c r="M16" s="111"/>
      <c r="N16" s="111"/>
      <c r="O16" s="71" t="s">
        <v>89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1"/>
      <c r="L17" s="158"/>
      <c r="M17" s="111"/>
      <c r="N17" s="111"/>
      <c r="O17" s="71" t="s">
        <v>90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1"/>
      <c r="L18" s="158"/>
      <c r="M18" s="111"/>
      <c r="N18" s="111"/>
      <c r="O18" s="71" t="s">
        <v>91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1"/>
      <c r="L19" s="158"/>
      <c r="M19" s="111"/>
      <c r="N19" s="111"/>
      <c r="O19" s="71" t="s">
        <v>92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1"/>
      <c r="L20" s="158"/>
      <c r="M20" s="111"/>
      <c r="N20" s="111"/>
      <c r="O20" s="71" t="s">
        <v>93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141946.84</v>
      </c>
      <c r="K21" s="111"/>
      <c r="L21" s="158"/>
      <c r="M21" s="111"/>
      <c r="N21" s="111"/>
      <c r="O21" s="71" t="s">
        <v>94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1"/>
      <c r="L22" s="158"/>
      <c r="M22" s="111"/>
      <c r="N22" s="111"/>
      <c r="O22" s="71" t="s">
        <v>95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1"/>
      <c r="L23" s="158"/>
      <c r="M23" s="111"/>
      <c r="N23" s="111"/>
      <c r="O23" s="71" t="s">
        <v>96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87479.13</v>
      </c>
      <c r="K24" s="111"/>
      <c r="L24" s="158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1" t="s">
        <v>19</v>
      </c>
      <c r="B27" s="141"/>
      <c r="C27" s="141"/>
      <c r="D27" s="141"/>
      <c r="E27" s="141"/>
      <c r="F27" s="141" t="s">
        <v>20</v>
      </c>
      <c r="G27" s="141"/>
      <c r="H27" s="5" t="s">
        <v>57</v>
      </c>
      <c r="I27" s="141" t="s">
        <v>21</v>
      </c>
      <c r="J27" s="141"/>
      <c r="K27" s="111"/>
      <c r="L27" s="159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8267.0400000000009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1"/>
      <c r="L28" s="159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5" t="str">
        <f>ПТО!A40</f>
        <v>Работы (услуги) по управлению многоквартирным домом</v>
      </c>
      <c r="B29" s="135"/>
      <c r="C29" s="135"/>
      <c r="D29" s="135"/>
      <c r="E29" s="135"/>
      <c r="F29" s="136">
        <f>VLOOKUP(A29,ПТО!$A$39:$D$53,2,FALSE)</f>
        <v>40926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11"/>
      <c r="L29" s="159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36">
        <f>VLOOKUP(A30,ПТО!$A$39:$D$53,2,FALSE)</f>
        <v>32249.64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1"/>
      <c r="L30" s="159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9822.24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11"/>
      <c r="L31" s="159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1"/>
      <c r="L32" s="159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4092.6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11"/>
      <c r="L33" s="159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26356.32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1"/>
      <c r="L34" s="159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35" t="str">
        <f>ПТО!A46</f>
        <v>Коммунальные ресурсы на содержание общего имущества</v>
      </c>
      <c r="B35" s="135"/>
      <c r="C35" s="135"/>
      <c r="D35" s="135"/>
      <c r="E35" s="135"/>
      <c r="F35" s="136">
        <f>VLOOKUP(A35,ПТО!$A$39:$D$53,2,FALSE)</f>
        <v>11240.117099999999</v>
      </c>
      <c r="G35" s="136"/>
      <c r="H35" s="42" t="str">
        <f>VLOOKUP(A35,ПТО!$A$39:$D$53,3,FALSE)</f>
        <v>Ежемесячно</v>
      </c>
      <c r="I35" s="137">
        <f>VLOOKUP(A35,ПТО!$A$39:$D$53,4,FALSE)</f>
        <v>12</v>
      </c>
      <c r="J35" s="137"/>
      <c r="K35" s="111"/>
      <c r="L35" s="159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36" t="e">
        <f>VLOOKUP(A36,ПТО!$A$39:$D$53,2,FALSE)</f>
        <v>#N/A</v>
      </c>
      <c r="G36" s="136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11"/>
      <c r="L36" s="159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1"/>
      <c r="L37" s="159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1"/>
      <c r="L38" s="159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1"/>
      <c r="L39" s="159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1"/>
      <c r="L40" s="159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1"/>
      <c r="L41" s="159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1"/>
      <c r="L42" s="159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35" t="str">
        <f>ПТО!A2</f>
        <v>Техническое обслуживание охранной сигнализации.</v>
      </c>
      <c r="B43" s="135"/>
      <c r="C43" s="135"/>
      <c r="D43" s="135"/>
      <c r="E43" s="135"/>
      <c r="F43" s="136">
        <f>VLOOKUP(A43,ПТО!$A$2:$D$31,4,FALSE)</f>
        <v>4281.12</v>
      </c>
      <c r="G43" s="136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1"/>
      <c r="L43" s="159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5" t="str">
        <f>ПТО!A3</f>
        <v>Аварийный ремонт теплообменника ГВС.</v>
      </c>
      <c r="B44" s="135"/>
      <c r="C44" s="135"/>
      <c r="D44" s="135"/>
      <c r="E44" s="135"/>
      <c r="F44" s="136">
        <f>VLOOKUP(A44,ПТО!$A$2:$D$31,4,FALSE)</f>
        <v>21708.83</v>
      </c>
      <c r="G44" s="136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1"/>
      <c r="L44" s="159"/>
      <c r="M44" s="118"/>
      <c r="N44" s="111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35" t="str">
        <f>ПТО!A4</f>
        <v>Приобретение и установка информационного стенда на детскую площадку.</v>
      </c>
      <c r="B45" s="135"/>
      <c r="C45" s="135"/>
      <c r="D45" s="135"/>
      <c r="E45" s="135"/>
      <c r="F45" s="136">
        <f>VLOOKUP(A45,ПТО!$A$2:$D$31,4,FALSE)</f>
        <v>542.4</v>
      </c>
      <c r="G45" s="136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1"/>
      <c r="L45" s="159"/>
      <c r="M45" s="118"/>
      <c r="N45" s="111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hidden="1" customHeight="1" outlineLevel="1">
      <c r="A46" s="135">
        <f>ПТО!A5</f>
        <v>0</v>
      </c>
      <c r="B46" s="135"/>
      <c r="C46" s="135"/>
      <c r="D46" s="135"/>
      <c r="E46" s="135"/>
      <c r="F46" s="136" t="e">
        <f>VLOOKUP(A46,ПТО!$A$2:$D$31,4,FALSE)</f>
        <v>#N/A</v>
      </c>
      <c r="G46" s="136"/>
      <c r="H46" s="25" t="e">
        <f>VLOOKUP(A46,ПТО!$A$2:$D$31,2,FALSE)</f>
        <v>#N/A</v>
      </c>
      <c r="I46" s="137" t="e">
        <f>VLOOKUP(A46,ПТО!$A$2:$D$31,3,FALSE)</f>
        <v>#N/A</v>
      </c>
      <c r="J46" s="137"/>
      <c r="K46" s="111"/>
      <c r="L46" s="159"/>
      <c r="M46" s="118"/>
      <c r="N46" s="111"/>
      <c r="O46" s="23">
        <f t="shared" si="1"/>
        <v>0</v>
      </c>
      <c r="R46" s="22" t="s">
        <v>72</v>
      </c>
    </row>
    <row r="47" spans="1:18" ht="51" hidden="1" customHeight="1" outlineLevel="1">
      <c r="A47" s="135">
        <f>ПТО!A6</f>
        <v>0</v>
      </c>
      <c r="B47" s="135"/>
      <c r="C47" s="135"/>
      <c r="D47" s="135"/>
      <c r="E47" s="135"/>
      <c r="F47" s="136" t="e">
        <f>VLOOKUP(A47,ПТО!$A$2:$D$31,4,FALSE)</f>
        <v>#N/A</v>
      </c>
      <c r="G47" s="136"/>
      <c r="H47" s="25" t="e">
        <f>VLOOKUP(A47,ПТО!$A$2:$D$31,2,FALSE)</f>
        <v>#N/A</v>
      </c>
      <c r="I47" s="137" t="e">
        <f>VLOOKUP(A47,ПТО!$A$2:$D$31,3,FALSE)</f>
        <v>#N/A</v>
      </c>
      <c r="J47" s="137"/>
      <c r="K47" s="111"/>
      <c r="L47" s="159"/>
      <c r="M47" s="118"/>
      <c r="N47" s="111"/>
      <c r="O47" s="23">
        <f t="shared" si="1"/>
        <v>0</v>
      </c>
      <c r="R47" s="22" t="s">
        <v>72</v>
      </c>
    </row>
    <row r="48" spans="1:18" ht="51" hidden="1" customHeight="1" outlineLevel="1">
      <c r="A48" s="135">
        <f>ПТО!A7</f>
        <v>0</v>
      </c>
      <c r="B48" s="135"/>
      <c r="C48" s="135"/>
      <c r="D48" s="135"/>
      <c r="E48" s="135"/>
      <c r="F48" s="136" t="e">
        <f>VLOOKUP(A48,ПТО!$A$2:$D$31,4,FALSE)</f>
        <v>#N/A</v>
      </c>
      <c r="G48" s="136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1"/>
      <c r="L48" s="159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36" t="e">
        <f>VLOOKUP(A49,ПТО!$A$2:$D$31,4,FALSE)</f>
        <v>#N/A</v>
      </c>
      <c r="G49" s="136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1"/>
      <c r="L49" s="159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36" t="e">
        <f>VLOOKUP(A50,ПТО!$A$2:$D$31,4,FALSE)</f>
        <v>#N/A</v>
      </c>
      <c r="G50" s="136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1"/>
      <c r="L50" s="159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36" t="e">
        <f>VLOOKUP(A51,ПТО!$A$2:$D$31,4,FALSE)</f>
        <v>#N/A</v>
      </c>
      <c r="G51" s="136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1"/>
      <c r="L51" s="159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36" t="e">
        <f>VLOOKUP(A52,ПТО!$A$2:$D$31,4,FALSE)</f>
        <v>#N/A</v>
      </c>
      <c r="G52" s="136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1"/>
      <c r="L52" s="159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1"/>
      <c r="L53" s="159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1"/>
      <c r="L54" s="159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1"/>
      <c r="L55" s="159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1"/>
      <c r="L56" s="159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1"/>
      <c r="L57" s="159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1"/>
      <c r="L58" s="159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1"/>
      <c r="L59" s="159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1"/>
      <c r="L60" s="159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1"/>
      <c r="L61" s="159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1"/>
      <c r="L62" s="159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1"/>
      <c r="L63" s="159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1"/>
      <c r="L64" s="159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1"/>
      <c r="L65" s="159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1"/>
      <c r="L66" s="159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1"/>
      <c r="L67" s="159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1"/>
      <c r="L68" s="159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1"/>
      <c r="L69" s="159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1"/>
      <c r="L70" s="159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8"/>
      <c r="L71" s="159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1"/>
      <c r="L72" s="159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3" t="s">
        <v>27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1"/>
      <c r="L75" s="142"/>
      <c r="M75" s="111"/>
      <c r="N75" s="111"/>
      <c r="O75" s="71" t="s">
        <v>98</v>
      </c>
    </row>
    <row r="76" spans="1:16384" ht="18.75" customHeight="1" outlineLevel="1">
      <c r="A76" s="153" t="s">
        <v>28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1"/>
      <c r="L76" s="142"/>
      <c r="M76" s="111"/>
      <c r="N76" s="111"/>
      <c r="O76" s="71" t="s">
        <v>99</v>
      </c>
    </row>
    <row r="77" spans="1:16384" ht="21.75" customHeight="1" outlineLevel="1">
      <c r="A77" s="153" t="s">
        <v>29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1"/>
      <c r="L77" s="142"/>
      <c r="M77" s="111"/>
      <c r="N77" s="111"/>
      <c r="O77" s="71" t="s">
        <v>100</v>
      </c>
    </row>
    <row r="78" spans="1:16384" ht="18.75" customHeight="1" outlineLevel="1">
      <c r="A78" s="153" t="s">
        <v>30</v>
      </c>
      <c r="B78" s="153"/>
      <c r="C78" s="153"/>
      <c r="D78" s="153"/>
      <c r="E78" s="153"/>
      <c r="F78" s="153"/>
      <c r="G78" s="153"/>
      <c r="H78" s="153"/>
      <c r="I78" s="153"/>
      <c r="J78" s="98">
        <f>VLOOKUP(O78,АО,3,FALSE)</f>
        <v>0</v>
      </c>
      <c r="K78" s="111"/>
      <c r="L78" s="142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8">
        <f t="shared" ref="J81:J90" si="2">VLOOKUP(O81,АО,3,FALSE)</f>
        <v>0</v>
      </c>
      <c r="K81" s="111"/>
      <c r="L81" s="160"/>
      <c r="M81" s="111"/>
      <c r="N81" s="111"/>
      <c r="O81" s="71" t="s">
        <v>102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8">
        <f t="shared" si="2"/>
        <v>0</v>
      </c>
      <c r="K82" s="111"/>
      <c r="L82" s="160"/>
      <c r="M82" s="111"/>
      <c r="N82" s="111"/>
      <c r="O82" s="71" t="s">
        <v>103</v>
      </c>
    </row>
    <row r="83" spans="1:15" outlineLevel="1">
      <c r="A83" s="150" t="s">
        <v>4</v>
      </c>
      <c r="B83" s="151"/>
      <c r="C83" s="151"/>
      <c r="D83" s="151"/>
      <c r="E83" s="151"/>
      <c r="F83" s="151"/>
      <c r="G83" s="151"/>
      <c r="H83" s="151"/>
      <c r="I83" s="152"/>
      <c r="J83" s="98">
        <f t="shared" si="2"/>
        <v>30644.26</v>
      </c>
      <c r="K83" s="111"/>
      <c r="L83" s="160"/>
      <c r="M83" s="111"/>
      <c r="N83" s="111"/>
      <c r="O83" s="71" t="s">
        <v>104</v>
      </c>
    </row>
    <row r="84" spans="1:15" outlineLevel="1">
      <c r="A84" s="150" t="s">
        <v>16</v>
      </c>
      <c r="B84" s="151"/>
      <c r="C84" s="151"/>
      <c r="D84" s="151"/>
      <c r="E84" s="151"/>
      <c r="F84" s="151"/>
      <c r="G84" s="151"/>
      <c r="H84" s="151"/>
      <c r="I84" s="152"/>
      <c r="J84" s="98">
        <f t="shared" si="2"/>
        <v>0</v>
      </c>
      <c r="K84" s="111"/>
      <c r="L84" s="160"/>
      <c r="M84" s="111"/>
      <c r="N84" s="111"/>
      <c r="O84" s="71" t="s">
        <v>105</v>
      </c>
    </row>
    <row r="85" spans="1:15" outlineLevel="1">
      <c r="A85" s="150" t="s">
        <v>17</v>
      </c>
      <c r="B85" s="151"/>
      <c r="C85" s="151"/>
      <c r="D85" s="151"/>
      <c r="E85" s="151"/>
      <c r="F85" s="151"/>
      <c r="G85" s="151"/>
      <c r="H85" s="151"/>
      <c r="I85" s="152"/>
      <c r="J85" s="98">
        <f t="shared" si="2"/>
        <v>0</v>
      </c>
      <c r="K85" s="111"/>
      <c r="L85" s="160"/>
      <c r="M85" s="111"/>
      <c r="N85" s="111"/>
      <c r="O85" s="71" t="s">
        <v>106</v>
      </c>
    </row>
    <row r="86" spans="1:15" outlineLevel="1">
      <c r="A86" s="150" t="s">
        <v>18</v>
      </c>
      <c r="B86" s="151"/>
      <c r="C86" s="151"/>
      <c r="D86" s="151"/>
      <c r="E86" s="151"/>
      <c r="F86" s="151"/>
      <c r="G86" s="151"/>
      <c r="H86" s="151"/>
      <c r="I86" s="152"/>
      <c r="J86" s="98">
        <f t="shared" si="2"/>
        <v>34636.81</v>
      </c>
      <c r="K86" s="111"/>
      <c r="L86" s="160"/>
      <c r="M86" s="111"/>
      <c r="N86" s="111"/>
      <c r="O86" s="71" t="s">
        <v>107</v>
      </c>
    </row>
    <row r="87" spans="1:15" ht="18.75" customHeight="1" outlineLevel="1">
      <c r="A87" s="150" t="s">
        <v>27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1"/>
      <c r="L87" s="160"/>
      <c r="M87" s="111"/>
      <c r="N87" s="111"/>
      <c r="O87" s="71" t="s">
        <v>108</v>
      </c>
    </row>
    <row r="88" spans="1:15" ht="18.75" customHeight="1" outlineLevel="1">
      <c r="A88" s="150" t="s">
        <v>28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1"/>
      <c r="L88" s="160"/>
      <c r="M88" s="111"/>
      <c r="N88" s="111"/>
      <c r="O88" s="71" t="s">
        <v>109</v>
      </c>
    </row>
    <row r="89" spans="1:15" ht="18.75" customHeight="1" outlineLevel="1">
      <c r="A89" s="150" t="s">
        <v>29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1"/>
      <c r="L89" s="160"/>
      <c r="M89" s="111"/>
      <c r="N89" s="111"/>
      <c r="O89" s="71" t="s">
        <v>110</v>
      </c>
    </row>
    <row r="90" spans="1:15" ht="18.75" customHeight="1" outlineLevel="1">
      <c r="A90" s="150" t="s">
        <v>30</v>
      </c>
      <c r="B90" s="151"/>
      <c r="C90" s="151"/>
      <c r="D90" s="151"/>
      <c r="E90" s="151"/>
      <c r="F90" s="151"/>
      <c r="G90" s="151"/>
      <c r="H90" s="151"/>
      <c r="I90" s="152"/>
      <c r="J90" s="98">
        <f t="shared" si="2"/>
        <v>0</v>
      </c>
      <c r="K90" s="111"/>
      <c r="L90" s="160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4" t="s">
        <v>48</v>
      </c>
      <c r="B93" s="144"/>
      <c r="C93" s="144"/>
      <c r="D93" s="147" t="s">
        <v>49</v>
      </c>
      <c r="E93" s="147"/>
      <c r="F93" s="10" t="s">
        <v>50</v>
      </c>
      <c r="G93" s="144" t="s">
        <v>51</v>
      </c>
      <c r="H93" s="144"/>
      <c r="I93" s="144"/>
      <c r="J93" s="144"/>
      <c r="K93" s="111"/>
      <c r="L93" s="111"/>
      <c r="M93" s="111"/>
      <c r="N93" s="111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8606.0300000000007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7171.69</v>
      </c>
      <c r="L95" s="161"/>
      <c r="O95" s="1" t="s">
        <v>112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8232.85</v>
      </c>
      <c r="L96" s="161"/>
      <c r="O96" s="1" t="s">
        <v>113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373.18000000000029</v>
      </c>
      <c r="L97" s="161"/>
      <c r="O97" s="1" t="s">
        <v>114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8606.0300000000007</v>
      </c>
      <c r="L98" s="161"/>
      <c r="O98" s="1" t="s">
        <v>115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8606.0300000000007</v>
      </c>
      <c r="L99" s="161"/>
      <c r="O99" s="1" t="s">
        <v>116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117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118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19389.86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1468.93</v>
      </c>
      <c r="L103" s="161"/>
      <c r="O103" s="1" t="s">
        <v>121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18615.27</v>
      </c>
      <c r="L104" s="161"/>
      <c r="O104" s="1" t="s">
        <v>122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774.59000000000015</v>
      </c>
      <c r="L105" s="161"/>
      <c r="O105" s="1" t="s">
        <v>123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19389.86</v>
      </c>
      <c r="L106" s="161"/>
      <c r="O106" s="1" t="s">
        <v>124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19389.86</v>
      </c>
      <c r="L107" s="161"/>
      <c r="O107" s="1" t="s">
        <v>125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126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127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40968.14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2554.12</v>
      </c>
      <c r="L111" s="161"/>
      <c r="O111" s="1" t="s">
        <v>129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38649.019999999997</v>
      </c>
      <c r="L112" s="161"/>
      <c r="O112" s="1" t="s">
        <v>130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2319.1200000000026</v>
      </c>
      <c r="L113" s="161"/>
      <c r="O113" s="1" t="s">
        <v>131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40968.14</v>
      </c>
      <c r="L114" s="161"/>
      <c r="O114" s="1" t="s">
        <v>132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40968.14</v>
      </c>
      <c r="L115" s="161"/>
      <c r="O115" s="1" t="s">
        <v>133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134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135</v>
      </c>
    </row>
    <row r="118" spans="1:15" ht="32.25" hidden="1" customHeight="1" outlineLevel="1">
      <c r="A118" s="148">
        <f>IF(VLOOKUP("тко",АО,3,FALSE)&gt;0,"Обращение с ТКО",0)</f>
        <v>0</v>
      </c>
      <c r="B118" s="148"/>
      <c r="C118" s="148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5">
        <f>VLOOKUP("тко",АО,5,FALSE)</f>
        <v>0</v>
      </c>
      <c r="H118" s="146"/>
      <c r="I118" s="146"/>
      <c r="J118" s="146"/>
      <c r="L118" s="48"/>
    </row>
    <row r="119" spans="1:15" ht="32.25" hidden="1" customHeight="1" outlineLevel="2">
      <c r="A119" s="143">
        <f t="shared" ref="A119:A125" si="8">IF(VLOOKUP("тко",АО,3,FALSE)&gt;0,VLOOKUP(O119,АО,2,FALSE),0)</f>
        <v>0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3">
        <f t="shared" si="8"/>
        <v>0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3">
        <f t="shared" si="8"/>
        <v>0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3">
        <f t="shared" si="8"/>
        <v>0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3">
        <f t="shared" si="8"/>
        <v>0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3">
        <f t="shared" si="8"/>
        <v>0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3">
        <f t="shared" si="8"/>
        <v>0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13756.29</v>
      </c>
      <c r="H126" s="146"/>
      <c r="I126" s="146"/>
      <c r="J126" s="146"/>
      <c r="L126" s="48"/>
    </row>
    <row r="127" spans="1:15" ht="32.25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1042.1400000000001</v>
      </c>
      <c r="L127" s="48"/>
      <c r="O127" s="1" t="s">
        <v>145</v>
      </c>
    </row>
    <row r="128" spans="1:15" ht="32.25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13230.66</v>
      </c>
      <c r="L128" s="48"/>
      <c r="O128" s="1" t="s">
        <v>146</v>
      </c>
    </row>
    <row r="129" spans="1:15" ht="32.25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525.63000000000102</v>
      </c>
      <c r="L129" s="48"/>
      <c r="O129" s="1" t="s">
        <v>147</v>
      </c>
    </row>
    <row r="130" spans="1:15" ht="32.25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13756.29</v>
      </c>
      <c r="L130" s="48"/>
      <c r="O130" s="1" t="s">
        <v>148</v>
      </c>
    </row>
    <row r="131" spans="1:15" ht="32.25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13756.29</v>
      </c>
      <c r="L131" s="48"/>
      <c r="O131" s="1" t="s">
        <v>149</v>
      </c>
    </row>
    <row r="132" spans="1:15" ht="32.25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6"/>
      <c r="I134" s="146"/>
      <c r="J134" s="146"/>
      <c r="L134" s="48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0</v>
      </c>
      <c r="O144" t="s">
        <v>169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3" t="s">
        <v>172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0</v>
      </c>
      <c r="O146" t="s">
        <v>171</v>
      </c>
    </row>
    <row r="149" spans="1:15" ht="52.5" customHeight="1">
      <c r="A149" s="139" t="s">
        <v>181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38" t="s">
        <v>184</v>
      </c>
      <c r="B154" s="138"/>
      <c r="C154" s="138"/>
      <c r="D154" s="138"/>
      <c r="E154" s="27">
        <f>ПТО!G1</f>
        <v>-16387.97</v>
      </c>
    </row>
    <row r="155" spans="1:15" ht="34.5" customHeight="1">
      <c r="A155" s="140" t="s">
        <v>186</v>
      </c>
      <c r="B155" s="140"/>
      <c r="C155" s="140"/>
      <c r="D155" s="140"/>
      <c r="E155" s="28">
        <f>J13</f>
        <v>28238.940000000002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19</v>
      </c>
      <c r="B157" s="141"/>
      <c r="C157" s="141"/>
      <c r="D157" s="141"/>
      <c r="E157" s="141"/>
      <c r="F157" s="141" t="s">
        <v>20</v>
      </c>
      <c r="G157" s="141"/>
      <c r="H157" s="20" t="s">
        <v>57</v>
      </c>
      <c r="I157" s="141" t="s">
        <v>21</v>
      </c>
      <c r="J157" s="141"/>
    </row>
    <row r="158" spans="1:15" ht="29.25" customHeight="1">
      <c r="A158" s="135" t="str">
        <f t="shared" ref="A158:A163" si="14">IF(N158&gt;0,N158,0)</f>
        <v>Техническое обслуживание охранной сигнализации.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4281.12</v>
      </c>
      <c r="G158" s="136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5" t="str">
        <f t="shared" si="14"/>
        <v>Аварийный ремонт теплообменника ГВС.</v>
      </c>
      <c r="B159" s="135"/>
      <c r="C159" s="135"/>
      <c r="D159" s="135"/>
      <c r="E159" s="135"/>
      <c r="F159" s="136">
        <f t="shared" si="15"/>
        <v>21708.83</v>
      </c>
      <c r="G159" s="136"/>
      <c r="H159" s="24" t="str">
        <f t="shared" si="16"/>
        <v>разово</v>
      </c>
      <c r="I159" s="137">
        <f t="shared" si="17"/>
        <v>1</v>
      </c>
      <c r="J159" s="137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35" t="str">
        <f t="shared" si="14"/>
        <v>Приобретение и установка информационного стенда на детскую площадку.</v>
      </c>
      <c r="B160" s="135"/>
      <c r="C160" s="135"/>
      <c r="D160" s="135"/>
      <c r="E160" s="135"/>
      <c r="F160" s="136">
        <f t="shared" si="15"/>
        <v>542.4</v>
      </c>
      <c r="G160" s="136"/>
      <c r="H160" s="24" t="str">
        <f t="shared" si="16"/>
        <v>разово</v>
      </c>
      <c r="I160" s="137">
        <f t="shared" si="17"/>
        <v>1</v>
      </c>
      <c r="J160" s="137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hidden="1" customHeight="1">
      <c r="A161" s="135">
        <f>IF(N161&gt;0,N161,0)</f>
        <v>0</v>
      </c>
      <c r="B161" s="135"/>
      <c r="C161" s="135"/>
      <c r="D161" s="135"/>
      <c r="E161" s="135"/>
      <c r="F161" s="136">
        <f t="shared" si="15"/>
        <v>0</v>
      </c>
      <c r="G161" s="136"/>
      <c r="H161" s="24" t="e">
        <f t="shared" si="16"/>
        <v>#N/A</v>
      </c>
      <c r="I161" s="137" t="e">
        <f t="shared" si="17"/>
        <v>#N/A</v>
      </c>
      <c r="J161" s="137"/>
      <c r="M161" s="22" t="s">
        <v>72</v>
      </c>
      <c r="N161" s="1">
        <v>0</v>
      </c>
    </row>
    <row r="162" spans="1:14" ht="28.5" hidden="1" customHeight="1">
      <c r="A162" s="135">
        <f t="shared" si="14"/>
        <v>0</v>
      </c>
      <c r="B162" s="135"/>
      <c r="C162" s="135"/>
      <c r="D162" s="135"/>
      <c r="E162" s="135"/>
      <c r="F162" s="136">
        <f t="shared" si="15"/>
        <v>0</v>
      </c>
      <c r="G162" s="136"/>
      <c r="H162" s="24" t="e">
        <f t="shared" si="16"/>
        <v>#N/A</v>
      </c>
      <c r="I162" s="137" t="e">
        <f>VLOOKUP(A162,$A$28:$J$72,9,FALSE)</f>
        <v>#N/A</v>
      </c>
      <c r="J162" s="137"/>
      <c r="M162" s="22" t="s">
        <v>72</v>
      </c>
      <c r="N162" s="1">
        <v>0</v>
      </c>
    </row>
    <row r="163" spans="1:14" ht="28.5" hidden="1" customHeight="1">
      <c r="A163" s="135">
        <f t="shared" si="14"/>
        <v>0</v>
      </c>
      <c r="B163" s="135"/>
      <c r="C163" s="135"/>
      <c r="D163" s="135"/>
      <c r="E163" s="135"/>
      <c r="F163" s="136">
        <f t="shared" si="15"/>
        <v>0</v>
      </c>
      <c r="G163" s="136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72</v>
      </c>
      <c r="N163" s="1">
        <v>0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0</v>
      </c>
      <c r="G164" s="136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72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36">
        <f t="shared" si="19"/>
        <v>0</v>
      </c>
      <c r="G165" s="136"/>
      <c r="H165" s="29" t="e">
        <f t="shared" si="16"/>
        <v>#N/A</v>
      </c>
      <c r="I165" s="137" t="e">
        <f t="shared" si="20"/>
        <v>#N/A</v>
      </c>
      <c r="J165" s="137"/>
      <c r="M165" s="22" t="s">
        <v>72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36">
        <f t="shared" si="19"/>
        <v>0</v>
      </c>
      <c r="G166" s="136"/>
      <c r="H166" s="29" t="e">
        <f t="shared" si="16"/>
        <v>#N/A</v>
      </c>
      <c r="I166" s="137" t="e">
        <f t="shared" si="20"/>
        <v>#N/A</v>
      </c>
      <c r="J166" s="137"/>
      <c r="M166" s="22" t="s">
        <v>72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36">
        <f t="shared" si="19"/>
        <v>0</v>
      </c>
      <c r="G167" s="136"/>
      <c r="H167" s="29" t="e">
        <f t="shared" si="16"/>
        <v>#N/A</v>
      </c>
      <c r="I167" s="137" t="e">
        <f t="shared" si="20"/>
        <v>#N/A</v>
      </c>
      <c r="J167" s="137"/>
      <c r="M167" s="22" t="s">
        <v>72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36">
        <f t="shared" si="19"/>
        <v>0</v>
      </c>
      <c r="G168" s="136"/>
      <c r="H168" s="29" t="e">
        <f t="shared" si="16"/>
        <v>#N/A</v>
      </c>
      <c r="I168" s="137" t="e">
        <f t="shared" si="20"/>
        <v>#N/A</v>
      </c>
      <c r="J168" s="137"/>
      <c r="M168" s="22" t="s">
        <v>72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36">
        <f t="shared" si="19"/>
        <v>0</v>
      </c>
      <c r="G169" s="136"/>
      <c r="H169" s="29" t="e">
        <f t="shared" si="16"/>
        <v>#N/A</v>
      </c>
      <c r="I169" s="137" t="e">
        <f t="shared" si="20"/>
        <v>#N/A</v>
      </c>
      <c r="J169" s="137"/>
      <c r="M169" s="22" t="s">
        <v>72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36">
        <f t="shared" si="19"/>
        <v>0</v>
      </c>
      <c r="G170" s="136"/>
      <c r="H170" s="29" t="e">
        <f t="shared" si="16"/>
        <v>#N/A</v>
      </c>
      <c r="I170" s="137" t="e">
        <f t="shared" si="20"/>
        <v>#N/A</v>
      </c>
      <c r="J170" s="137"/>
      <c r="M170" s="22" t="s">
        <v>72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36">
        <f t="shared" si="19"/>
        <v>0</v>
      </c>
      <c r="G171" s="136"/>
      <c r="H171" s="29" t="e">
        <f t="shared" si="16"/>
        <v>#N/A</v>
      </c>
      <c r="I171" s="137" t="e">
        <f t="shared" si="20"/>
        <v>#N/A</v>
      </c>
      <c r="J171" s="137"/>
      <c r="M171" s="22" t="s">
        <v>72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36">
        <f t="shared" si="19"/>
        <v>0</v>
      </c>
      <c r="G172" s="136"/>
      <c r="H172" s="29" t="e">
        <f t="shared" si="16"/>
        <v>#N/A</v>
      </c>
      <c r="I172" s="137" t="e">
        <f t="shared" si="20"/>
        <v>#N/A</v>
      </c>
      <c r="J172" s="137"/>
      <c r="M172" s="22" t="s">
        <v>72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72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72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72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72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72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72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72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72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72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72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72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72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72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72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38" t="s">
        <v>187</v>
      </c>
      <c r="B190" s="138"/>
      <c r="C190" s="138"/>
      <c r="D190" s="138"/>
      <c r="E190" s="27">
        <f>SUM(F158:G187)</f>
        <v>26532.350000000002</v>
      </c>
    </row>
    <row r="191" spans="1:14" ht="51.75" customHeight="1">
      <c r="A191" s="138" t="s">
        <v>188</v>
      </c>
      <c r="B191" s="138"/>
      <c r="C191" s="138"/>
      <c r="D191" s="138"/>
      <c r="E191" s="27">
        <f>E190+E154-E155</f>
        <v>-18094.560000000001</v>
      </c>
    </row>
    <row r="192" spans="1:14">
      <c r="A192" s="106" t="s">
        <v>173</v>
      </c>
    </row>
    <row r="193" spans="1:10" ht="62.25" customHeight="1">
      <c r="A193" s="163" t="s">
        <v>185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50">
        <f>ПТО!G12</f>
        <v>1200</v>
      </c>
      <c r="I194" s="51" t="s">
        <v>74</v>
      </c>
    </row>
    <row r="195" spans="1:10" ht="18.75" customHeight="1">
      <c r="A195" s="162" t="str">
        <f>ПТО!F13</f>
        <v xml:space="preserve">  -  техническое обслуживание охранной сигнализации</v>
      </c>
      <c r="B195" s="162"/>
      <c r="C195" s="162"/>
      <c r="D195" s="162"/>
      <c r="E195" s="162"/>
      <c r="F195" s="162"/>
      <c r="G195" s="162"/>
      <c r="H195" s="50">
        <f>ПТО!G13</f>
        <v>4300</v>
      </c>
      <c r="I195" s="51" t="s">
        <v>74</v>
      </c>
    </row>
    <row r="196" spans="1:10" ht="18.75" hidden="1" customHeight="1">
      <c r="A196" s="162">
        <f>ПТО!F14</f>
        <v>0</v>
      </c>
      <c r="B196" s="162"/>
      <c r="C196" s="162"/>
      <c r="D196" s="162"/>
      <c r="E196" s="162"/>
      <c r="F196" s="162"/>
      <c r="G196" s="162"/>
      <c r="H196" s="50">
        <f>ПТО!G14</f>
        <v>0</v>
      </c>
      <c r="I196" s="51" t="s">
        <v>74</v>
      </c>
    </row>
    <row r="197" spans="1:10" ht="18.75" hidden="1" customHeight="1">
      <c r="A197" s="162">
        <f>ПТО!F15</f>
        <v>0</v>
      </c>
      <c r="B197" s="162"/>
      <c r="C197" s="162"/>
      <c r="D197" s="162"/>
      <c r="E197" s="162"/>
      <c r="F197" s="162"/>
      <c r="G197" s="162"/>
      <c r="H197" s="50">
        <f>ПТО!G15</f>
        <v>0</v>
      </c>
      <c r="I197" s="51" t="s">
        <v>74</v>
      </c>
    </row>
    <row r="198" spans="1:10" ht="18.75" hidden="1" customHeight="1">
      <c r="A198" s="162">
        <f>ПТО!F16</f>
        <v>0</v>
      </c>
      <c r="B198" s="162"/>
      <c r="C198" s="162"/>
      <c r="D198" s="162"/>
      <c r="E198" s="162"/>
      <c r="F198" s="162"/>
      <c r="G198" s="162"/>
      <c r="H198" s="50">
        <f>ПТО!G16</f>
        <v>0</v>
      </c>
      <c r="I198" s="53" t="s">
        <v>74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50">
        <f>ПТО!G17</f>
        <v>0</v>
      </c>
      <c r="I199" s="51" t="s">
        <v>74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50">
        <f>ПТО!G18</f>
        <v>0</v>
      </c>
      <c r="I200" s="51" t="s">
        <v>74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50">
        <f>ПТО!G19</f>
        <v>0</v>
      </c>
      <c r="I201" s="51" t="s">
        <v>74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50">
        <f>ПТО!G20</f>
        <v>0</v>
      </c>
      <c r="I202" s="51" t="s">
        <v>74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50">
        <f>ПТО!G21</f>
        <v>0</v>
      </c>
      <c r="I203" s="51" t="s">
        <v>74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50">
        <f>ПТО!G22</f>
        <v>0</v>
      </c>
      <c r="I204" s="51" t="s">
        <v>74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50">
        <f>ПТО!G23</f>
        <v>0</v>
      </c>
      <c r="I205" s="51" t="s">
        <v>74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50">
        <f>ПТО!G24</f>
        <v>0</v>
      </c>
      <c r="I206" s="51" t="s">
        <v>74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50">
        <f>ПТО!G25</f>
        <v>0</v>
      </c>
      <c r="I207" s="51" t="s">
        <v>74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50">
        <f>ПТО!G26</f>
        <v>0</v>
      </c>
      <c r="I208" s="51" t="s">
        <v>74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50">
        <f>ПТО!G27</f>
        <v>0</v>
      </c>
      <c r="I209" s="51" t="s">
        <v>74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50">
        <f>ПТО!G28</f>
        <v>0</v>
      </c>
      <c r="I210" s="51" t="s">
        <v>74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50">
        <f>ПТО!G29</f>
        <v>0</v>
      </c>
      <c r="I211" s="51" t="s">
        <v>74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50">
        <f>ПТО!G30</f>
        <v>0</v>
      </c>
      <c r="I212" s="51" t="s">
        <v>74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5500</v>
      </c>
      <c r="I214" s="57" t="s">
        <v>76</v>
      </c>
    </row>
  </sheetData>
  <sheetProtection algorithmName="SHA-512" hashValue="2YxCpvU0jOttZckEENP/xjQe3hewv2Oq37KXxK60LP+JDdu8RPcYfAjq7Npn7wpcCAGgJmj0CbKC8F1pDLrLbg==" saltValue="EGQb6nDM7zFFg0ETHlV/Y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127" t="s">
        <v>19</v>
      </c>
      <c r="B1" s="127" t="s">
        <v>57</v>
      </c>
      <c r="C1" s="127" t="s">
        <v>21</v>
      </c>
      <c r="D1" s="127" t="s">
        <v>20</v>
      </c>
      <c r="E1" s="34"/>
      <c r="F1" s="102" t="s">
        <v>184</v>
      </c>
      <c r="G1" s="103">
        <f>-16387.97</f>
        <v>-16387.97</v>
      </c>
    </row>
    <row r="2" spans="1:12" ht="18.75" customHeight="1">
      <c r="A2" s="128" t="s">
        <v>179</v>
      </c>
      <c r="B2" s="129" t="s">
        <v>176</v>
      </c>
      <c r="C2" s="129">
        <v>12</v>
      </c>
      <c r="D2" s="130">
        <v>4281.12</v>
      </c>
      <c r="E2" s="31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5" t="s">
        <v>183</v>
      </c>
      <c r="B3" s="123" t="s">
        <v>182</v>
      </c>
      <c r="C3" s="43">
        <v>1</v>
      </c>
      <c r="D3" s="47">
        <v>21708.83</v>
      </c>
      <c r="E3" s="45" t="s">
        <v>189</v>
      </c>
      <c r="F3" s="30"/>
      <c r="G3" s="30"/>
      <c r="L3" s="33" t="str">
        <f t="shared" si="0"/>
        <v>ТР</v>
      </c>
    </row>
    <row r="4" spans="1:12" ht="18.75" customHeight="1">
      <c r="A4" s="124" t="s">
        <v>190</v>
      </c>
      <c r="B4" s="125" t="s">
        <v>182</v>
      </c>
      <c r="C4" s="126">
        <v>1</v>
      </c>
      <c r="D4" s="44">
        <v>542.4</v>
      </c>
      <c r="E4" s="45" t="s">
        <v>191</v>
      </c>
      <c r="F4" s="30"/>
      <c r="G4" s="30"/>
      <c r="L4" s="33" t="str">
        <f t="shared" si="0"/>
        <v>ТР</v>
      </c>
    </row>
    <row r="5" spans="1:12" ht="18.75" customHeight="1">
      <c r="A5" s="45"/>
      <c r="B5" s="43"/>
      <c r="C5" s="43"/>
      <c r="D5" s="44"/>
      <c r="E5" s="45"/>
      <c r="F5" s="45"/>
      <c r="G5" s="45"/>
      <c r="K5" s="47"/>
      <c r="L5" s="33">
        <f t="shared" si="0"/>
        <v>0</v>
      </c>
    </row>
    <row r="6" spans="1:12" ht="18.75" customHeight="1">
      <c r="A6" s="99"/>
      <c r="D6" s="47"/>
      <c r="F6" s="45"/>
      <c r="G6" s="45"/>
      <c r="K6" s="47"/>
      <c r="L6" s="33">
        <f t="shared" si="0"/>
        <v>0</v>
      </c>
    </row>
    <row r="7" spans="1:12" ht="18.75" customHeight="1">
      <c r="A7" s="30"/>
      <c r="F7" s="46"/>
      <c r="G7" s="46"/>
      <c r="K7" s="47"/>
      <c r="L7" s="33">
        <f t="shared" si="0"/>
        <v>0</v>
      </c>
    </row>
    <row r="8" spans="1:12" ht="18.75" customHeight="1">
      <c r="A8" s="30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185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180</v>
      </c>
      <c r="G13" s="115">
        <v>4300</v>
      </c>
      <c r="L13" s="33">
        <f t="shared" si="0"/>
        <v>0</v>
      </c>
    </row>
    <row r="14" spans="1:12" ht="15.75">
      <c r="A14" s="30"/>
      <c r="F14" s="121"/>
      <c r="G14" s="122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8267.0400000000009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8267.0400000000009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40926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40926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32249.64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32249.64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9822.24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9822.24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4092.6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4092.6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26356.32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26356.32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193</v>
      </c>
      <c r="B46" s="131">
        <f>(E46*G52*F54*6+E46*G52*G54*6)+(F46*G58*F60*6+F46*G58*G60*6)+(F46*G62*F64*6+F46*G62*G64*6)</f>
        <v>11240.117099999999</v>
      </c>
      <c r="C46" s="132" t="s">
        <v>68</v>
      </c>
      <c r="D46" s="49">
        <v>12</v>
      </c>
      <c r="E46" s="131">
        <v>242.5</v>
      </c>
      <c r="F46" s="131">
        <v>95.4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11240.117099999999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3"/>
      <c r="C47" s="132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4" t="s">
        <v>194</v>
      </c>
      <c r="F51" s="134" t="s">
        <v>195</v>
      </c>
      <c r="G51" s="134" t="s">
        <v>196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4"/>
      <c r="F52" s="131">
        <v>1129.2</v>
      </c>
      <c r="G52" s="134">
        <v>2.5</v>
      </c>
      <c r="H52" s="134">
        <f>G52*E46/F52</f>
        <v>0.53688452001416931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4"/>
      <c r="F53" s="134" t="s">
        <v>197</v>
      </c>
      <c r="G53" s="134" t="s">
        <v>198</v>
      </c>
      <c r="H53" s="134">
        <f>H52*G55</f>
        <v>11.274574920297555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4"/>
      <c r="F54" s="134">
        <v>1.17</v>
      </c>
      <c r="G54" s="134">
        <v>1.23</v>
      </c>
      <c r="H54" s="134"/>
    </row>
    <row r="55" spans="5:16">
      <c r="E55" s="134"/>
      <c r="F55" s="134"/>
      <c r="G55" s="134">
        <v>21</v>
      </c>
      <c r="H55" s="134"/>
    </row>
    <row r="56" spans="5:16">
      <c r="E56" s="134"/>
      <c r="F56" s="134"/>
      <c r="G56" s="134"/>
      <c r="H56" s="134"/>
    </row>
    <row r="57" spans="5:16">
      <c r="E57" s="134" t="s">
        <v>199</v>
      </c>
      <c r="F57" s="134"/>
      <c r="G57" s="134"/>
      <c r="H57" s="134"/>
    </row>
    <row r="58" spans="5:16">
      <c r="E58" s="134"/>
      <c r="F58" s="131">
        <f>F52</f>
        <v>1129.2</v>
      </c>
      <c r="G58" s="134">
        <v>7.4999999999999997E-2</v>
      </c>
      <c r="H58" s="134">
        <f>G58*F46</f>
        <v>7.1550000000000002</v>
      </c>
    </row>
    <row r="59" spans="5:16">
      <c r="E59" s="134"/>
      <c r="F59" s="134" t="s">
        <v>197</v>
      </c>
      <c r="G59" s="134" t="s">
        <v>198</v>
      </c>
      <c r="H59" s="134">
        <f>H58/F58</f>
        <v>6.3363443145589794E-3</v>
      </c>
    </row>
    <row r="60" spans="5:16">
      <c r="E60" s="134"/>
      <c r="F60" s="134">
        <v>12.94</v>
      </c>
      <c r="G60" s="134">
        <v>13.45</v>
      </c>
      <c r="H60" s="134">
        <f>H59*G55</f>
        <v>0.13306323060573857</v>
      </c>
    </row>
    <row r="61" spans="5:16">
      <c r="E61" s="134" t="s">
        <v>200</v>
      </c>
      <c r="F61" s="134"/>
      <c r="G61" s="134"/>
      <c r="H61" s="134"/>
    </row>
    <row r="62" spans="5:16">
      <c r="E62" s="134"/>
      <c r="F62" s="131">
        <f>F52</f>
        <v>1129.2</v>
      </c>
      <c r="G62" s="134">
        <v>7.4999999999999997E-2</v>
      </c>
      <c r="H62" s="134">
        <f>G62*F46</f>
        <v>7.1550000000000002</v>
      </c>
    </row>
    <row r="63" spans="5:16">
      <c r="E63" s="134"/>
      <c r="F63" s="134" t="s">
        <v>197</v>
      </c>
      <c r="G63" s="134" t="s">
        <v>198</v>
      </c>
      <c r="H63" s="134">
        <f>H62/F62</f>
        <v>6.3363443145589794E-3</v>
      </c>
    </row>
    <row r="64" spans="5:16">
      <c r="E64" s="134"/>
      <c r="F64" s="134">
        <v>15.73</v>
      </c>
      <c r="G64" s="134">
        <v>16.350000000000001</v>
      </c>
      <c r="H64" s="134">
        <f>H63*G55</f>
        <v>0.13306323060573857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178</v>
      </c>
      <c r="F1" s="61">
        <v>682.1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120" t="s">
        <v>177</v>
      </c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84328.88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145097.09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116858.15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28238.940000000002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141946.84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141946.84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141946.84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87479.13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6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6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6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6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5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5"/>
      <c r="N26" s="64"/>
    </row>
    <row r="27" spans="1:15" ht="18.75" customHeight="1">
      <c r="A27" s="71" t="s">
        <v>104</v>
      </c>
      <c r="B27" s="76" t="s">
        <v>4</v>
      </c>
      <c r="C27" s="87">
        <v>30644.26</v>
      </c>
      <c r="D27" s="82" t="s">
        <v>60</v>
      </c>
      <c r="E27" s="65"/>
      <c r="F27" s="65"/>
      <c r="G27" s="65"/>
      <c r="H27" s="65"/>
      <c r="I27" s="65"/>
      <c r="J27" s="65"/>
      <c r="M27" s="165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5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5"/>
      <c r="N29" s="64"/>
    </row>
    <row r="30" spans="1:15" ht="18.75" customHeight="1">
      <c r="A30" s="71" t="s">
        <v>107</v>
      </c>
      <c r="B30" s="76" t="s">
        <v>18</v>
      </c>
      <c r="C30" s="87">
        <v>34636.81</v>
      </c>
      <c r="D30" s="82" t="s">
        <v>66</v>
      </c>
      <c r="E30" s="65"/>
      <c r="F30" s="65"/>
      <c r="G30" s="65"/>
      <c r="H30" s="65"/>
      <c r="I30" s="65"/>
      <c r="J30" s="65"/>
      <c r="M30" s="165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5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5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5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5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8606.0300000000007</v>
      </c>
      <c r="F37" s="95" t="s">
        <v>166</v>
      </c>
      <c r="G37" s="67"/>
      <c r="H37" s="67"/>
      <c r="I37" s="67"/>
      <c r="L37" s="64"/>
      <c r="M37" s="164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7171.69</v>
      </c>
      <c r="D38" s="95" t="s">
        <v>164</v>
      </c>
      <c r="E38" s="69"/>
      <c r="G38" s="68"/>
      <c r="H38" s="68"/>
      <c r="L38" s="64"/>
      <c r="M38" s="164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8232.85</v>
      </c>
      <c r="D39" s="95" t="s">
        <v>165</v>
      </c>
      <c r="E39" s="69"/>
      <c r="G39" s="68"/>
      <c r="H39" s="68"/>
      <c r="L39" s="64"/>
      <c r="M39" s="164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373.18000000000029</v>
      </c>
      <c r="D40" s="81" t="s">
        <v>59</v>
      </c>
      <c r="E40" s="69"/>
      <c r="G40" s="68"/>
      <c r="H40" s="68"/>
      <c r="L40" s="64"/>
      <c r="M40" s="164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8606.0300000000007</v>
      </c>
      <c r="D41" s="81" t="s">
        <v>59</v>
      </c>
      <c r="E41" s="69"/>
      <c r="G41" s="68"/>
      <c r="H41" s="68"/>
      <c r="L41" s="64"/>
      <c r="M41" s="164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8606.0300000000007</v>
      </c>
      <c r="D42" s="81" t="s">
        <v>59</v>
      </c>
      <c r="E42" s="69"/>
      <c r="G42" s="68"/>
      <c r="H42" s="68"/>
      <c r="L42" s="64"/>
      <c r="M42" s="164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4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4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19389.86</v>
      </c>
      <c r="F45" s="95" t="s">
        <v>166</v>
      </c>
      <c r="G45" s="67"/>
      <c r="H45" s="67"/>
      <c r="L45" s="64"/>
      <c r="M45" s="164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1468.93</v>
      </c>
      <c r="D46" s="95" t="s">
        <v>167</v>
      </c>
      <c r="E46" s="69"/>
      <c r="G46" s="68"/>
      <c r="H46" s="68"/>
      <c r="L46" s="64"/>
      <c r="M46" s="164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18615.27</v>
      </c>
      <c r="D47" s="95" t="s">
        <v>165</v>
      </c>
      <c r="E47" s="69"/>
      <c r="G47" s="68"/>
      <c r="H47" s="68"/>
      <c r="L47" s="64"/>
      <c r="M47" s="164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774.59000000000015</v>
      </c>
      <c r="D48" s="81" t="s">
        <v>59</v>
      </c>
      <c r="E48" s="69"/>
      <c r="G48" s="68"/>
      <c r="H48" s="68"/>
      <c r="L48" s="64"/>
      <c r="M48" s="164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19389.86</v>
      </c>
      <c r="D49" s="81" t="s">
        <v>59</v>
      </c>
      <c r="E49" s="69"/>
      <c r="G49" s="68"/>
      <c r="H49" s="68"/>
      <c r="L49" s="64"/>
      <c r="M49" s="164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19389.86</v>
      </c>
      <c r="D50" s="81" t="s">
        <v>59</v>
      </c>
      <c r="E50" s="69"/>
      <c r="G50" s="68"/>
      <c r="H50" s="68"/>
      <c r="L50" s="64"/>
      <c r="M50" s="164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4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4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40968.14</v>
      </c>
      <c r="F53" s="95" t="s">
        <v>166</v>
      </c>
      <c r="G53" s="67"/>
      <c r="H53" s="67"/>
      <c r="L53" s="64"/>
      <c r="M53" s="164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2554.12</v>
      </c>
      <c r="D54" s="95" t="s">
        <v>167</v>
      </c>
      <c r="E54" s="70"/>
      <c r="F54" s="90"/>
      <c r="G54" s="65"/>
      <c r="H54" s="65"/>
      <c r="L54" s="64"/>
      <c r="M54" s="164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38649.019999999997</v>
      </c>
      <c r="D55" s="95" t="s">
        <v>165</v>
      </c>
      <c r="E55" s="70"/>
      <c r="G55" s="65"/>
      <c r="H55" s="65"/>
      <c r="L55" s="64"/>
      <c r="M55" s="164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2319.1200000000026</v>
      </c>
      <c r="D56" s="81" t="s">
        <v>59</v>
      </c>
      <c r="E56" s="70"/>
      <c r="G56" s="65"/>
      <c r="H56" s="65"/>
      <c r="L56" s="64"/>
      <c r="M56" s="164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40968.14</v>
      </c>
      <c r="D57" s="81" t="s">
        <v>59</v>
      </c>
      <c r="E57" s="70"/>
      <c r="G57" s="65"/>
      <c r="H57" s="65"/>
      <c r="L57" s="64"/>
      <c r="M57" s="164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40968.14</v>
      </c>
      <c r="D58" s="81" t="s">
        <v>59</v>
      </c>
      <c r="E58" s="70"/>
      <c r="G58" s="65"/>
      <c r="H58" s="65"/>
      <c r="L58" s="64"/>
      <c r="M58" s="164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4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4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13756.29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1042.1400000000001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13230.66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525.63000000000102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13756.29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13756.29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2022-03-25T08:48:47Z</dcterms:modified>
</cp:coreProperties>
</file>