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9" i="1"/>
  <c r="A98" i="1"/>
  <c r="A97" i="1"/>
  <c r="A95" i="1"/>
  <c r="G94" i="1"/>
  <c r="F94" i="1"/>
  <c r="A94" i="1"/>
  <c r="K94" i="1"/>
  <c r="D94" i="1" l="1"/>
  <c r="A96" i="1"/>
  <c r="A114" i="1"/>
  <c r="A110" i="1"/>
  <c r="A115" i="1"/>
  <c r="A119" i="1"/>
  <c r="D110" i="1"/>
  <c r="A116" i="1"/>
  <c r="A112" i="1"/>
  <c r="A123" i="1"/>
  <c r="F110" i="1"/>
  <c r="A113" i="1"/>
  <c r="A118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<sst xmlns="http://schemas.openxmlformats.org/spreadsheetml/2006/main" count="549" uniqueCount="198">
  <si>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</si>
  <si>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</si>
  <si>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</si>
  <si>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</si>
  <si>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</si>
  <si>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</si>
  <si>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</si>
  <si>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</si>
  <si>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</si>
  <si>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</si>
  <si>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</si>
  <si>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</si>
  <si>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</si>
  <si>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</si>
  <si>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</si>
  <si>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</si>
  <si>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</si>
  <si>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</si>
  <si>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</si>
  <si>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</si>
  <si>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</si>
  <si>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</si>
  <si>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</si>
  <si>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</si>
  <si>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</si>
  <si>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</si>
  <si>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</si>
  <si>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</si>
  <si>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</si>
  <si>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</si>
  <si>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</si>
  <si>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</si>
  <si>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</si>
  <si>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</si>
  <si>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</si>
  <si>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</si>
  <si>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</si>
  <si>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</si>
  <si>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</si>
  <si>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</si>
  <si>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</si>
  <si>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</si>
  <si>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</si>
  <si>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</si>
  <si>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</si>
  <si>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</si>
  <si>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</si>
  <si>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</si>
  <si>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</si>
  <si>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</si>
  <si>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</si>
  <si>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</si>
  <si>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</si>
  <si>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</si>
  <si>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</si>
  <si>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</si>
  <si>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</si>
  <si>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</si>
  <si>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</si>
  <si>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</si>
  <si>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</si>
  <si>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</si>
  <si>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</si>
  <si>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</si>
  <si>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</si>
  <si>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</si>
  <si>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</si>
  <si>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</si>
  <si>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</si>
  <si>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</si>
  <si>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</si>
  <si>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</si>
  <si>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</si>
  <si>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</si>
  <si>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</si>
  <si>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</si>
  <si>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</si>
  <si>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</si>
  <si>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</si>
  <si>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</si>
  <si>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</si>
  <si>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</si>
  <si>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</si>
  <si>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</si>
  <si>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</si>
  <si>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</si>
  <si>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</si>
  <si>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</si>
  <si>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</si>
  <si>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</si>
  <si>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</si>
  <si>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</si>
  <si>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</si>
  <si>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</si>
  <si>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</si>
  <si>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</si>
  <si>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</si>
  <si>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</si>
  <si>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</si>
  <si>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</si>
  <si>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</si>
  <si>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</si>
  <si>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</si>
  <si>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</si>
  <si>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</si>
  <si>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</si>
  <si>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</si>
  <si>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</si>
  <si>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</si>
  <si>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</si>
  <si>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</si>
  <si>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</si>
  <si>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</si>
  <si>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</si>
  <si>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</si>
  <si>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</si>
  <si>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</si>
  <si>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</si>
  <si>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</si>
  <si>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</si>
  <si>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</si>
  <si>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</si>
  <si>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</si>
  <si>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</si>
  <si>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</si>
  <si>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</si>
  <si>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</si>
  <si>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</si>
  <si>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</si>
  <si>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</si>
  <si>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</si>
  <si>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</si>
  <si>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</si>
  <si>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</si>
  <si>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</si>
  <si>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</si>
  <si>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</si>
  <si>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</si>
  <si>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</si>
  <si>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</si>
  <si>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</si>
  <si>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</si>
  <si>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</si>
  <si>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</si>
  <si>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</si>
  <si>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</si>
  <si>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</si>
  <si>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</si>
  <si>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</si>
  <si>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</si>
  <si>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</si>
  <si>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</si>
  <si>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</si>
  <si>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</si>
  <si>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</si>
  <si>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</si>
  <si>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</si>
  <si>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</si>
  <si>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</si>
  <si>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</si>
  <si>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</si>
  <si>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</si>
  <si>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</si>
  <si>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</si>
  <si>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</si>
  <si>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</si>
  <si>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</si>
  <si>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</si>
  <si>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</si>
  <si>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</si>
  <si>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</si>
  <si>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</si>
  <si>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</si>
  <si>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113</t>
  </si>
  <si>
    <t>площадь дома</t>
  </si>
  <si>
    <t>с 01.09.2019 приказ №76 от 17.09.2019, протокол №1-2 от 10.08.2019</t>
  </si>
  <si>
    <t>Отчет об исполнении договора управления многоквартирного дома 
Березовый, 113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</si>
  <si>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</si>
  <si>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</si>
  <si>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</si>
  <si>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</si>
  <si>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</si>
  <si>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Ремонт теплообменника ГВС.</t>
  </si>
  <si>
    <t>разово</t>
  </si>
  <si>
    <t>АВР 1/21 от 19.07.2021, Решение, счет №192 от 12.04.2021</t>
  </si>
  <si>
    <t>Ремонт подъезда (3-4 этажи).</t>
  </si>
  <si>
    <t>АВР 2/21 от 05.10.2021, Решение, счет №46 от 06.09.2021</t>
  </si>
  <si>
    <t>Приобретение и установка информационного стенда на детскую площадку.</t>
  </si>
  <si>
    <t>АВР 3/21 от 29.11.2021, Решение</t>
  </si>
  <si>
    <t>Коммунальные ресурсы на содержание общего имущества</t>
  </si>
  <si>
    <t>,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</si>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</sst>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1" fillId="0" borderId="0"/>
    <xf numFmtId="0" fontId="4" fillId="0" borderId="0"/>
    <xf numFmtId="0" fontId="1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30" fillId="6" borderId="0" xfId="8" applyFill="1" applyProtection="1">
      <protection locked="0"/>
    </xf>
    <xf numFmtId="0" fontId="30" fillId="4" borderId="0" xfId="8" applyFill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2" fillId="0" borderId="0" xfId="10" applyFont="1" applyFill="1" applyBorder="1" applyAlignment="1"/>
    <xf numFmtId="4" fontId="4" fillId="0" borderId="0" xfId="11" applyNumberFormat="1" applyFill="1" applyBorder="1" applyAlignment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2" fillId="3" borderId="0" xfId="21" applyNumberFormat="1" applyFont="1" applyFill="1" applyBorder="1" applyAlignment="1">
      <alignment horizontal="left" vertical="center" wrapText="1"/>
    </xf>
    <xf numFmtId="4" fontId="31" fillId="0" borderId="0" xfId="0" applyNumberFormat="1" applyFont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22">
    <cellStyle name="Обычный" xfId="0" builtinId="0"/>
    <cellStyle name="Обычный 2" xfId="1"/>
    <cellStyle name="Обычный 2 2" xfId="3"/>
    <cellStyle name="Обычный 2 3" xfId="14"/>
    <cellStyle name="Обычный 2 4" xfId="9"/>
    <cellStyle name="Обычный 2 5 2" xfId="21"/>
    <cellStyle name="Обычный 3" xfId="2"/>
    <cellStyle name="Обычный 3 2" xfId="7"/>
    <cellStyle name="Обычный 3 3" xfId="6"/>
    <cellStyle name="Обычный 3 4" xfId="19"/>
    <cellStyle name="Обычный 3 5" xfId="15"/>
    <cellStyle name="Обычный 3 6" xfId="10"/>
    <cellStyle name="Обычный 4" xfId="4"/>
    <cellStyle name="Обычный 4 2" xfId="16"/>
    <cellStyle name="Обычный 4 3" xfId="11"/>
    <cellStyle name="Обычный 5" xfId="5"/>
    <cellStyle name="Обычный 5 2" xfId="17"/>
    <cellStyle name="Обычный 5 3" xfId="12"/>
    <cellStyle name="Обычный 5 4" xfId="20"/>
    <cellStyle name="Обычный 6" xfId="8"/>
    <cellStyle name="Финансовый 2" xfId="13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1" sqref="L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8" t="s">
        <v>173</v>
      </c>
      <c r="B2" s="158"/>
      <c r="C2" s="158"/>
      <c r="D2" s="158"/>
      <c r="E2" s="158"/>
      <c r="F2" s="158"/>
      <c r="G2" s="158"/>
      <c r="H2" s="158"/>
      <c r="I2" s="158"/>
      <c r="J2" s="158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9"/>
      <c r="M8" s="112"/>
      <c r="N8" s="112"/>
      <c r="O8" s="72" t="s">
        <v>80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9"/>
      <c r="M9" s="112"/>
      <c r="N9" s="112"/>
      <c r="O9" s="72" t="s">
        <v>81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78668.5</v>
      </c>
      <c r="K10" s="112"/>
      <c r="L10" s="159"/>
      <c r="M10" s="112"/>
      <c r="N10" s="112"/>
      <c r="O10" s="72" t="s">
        <v>82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226639.82</v>
      </c>
      <c r="K11" s="112"/>
      <c r="L11" s="159"/>
      <c r="M11" s="112"/>
      <c r="N11" s="112"/>
      <c r="O11" s="72" t="s">
        <v>83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105207.7</v>
      </c>
      <c r="K12" s="112"/>
      <c r="L12" s="159"/>
      <c r="M12" s="112"/>
      <c r="N12" s="112"/>
      <c r="O12" s="72" t="s">
        <v>84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62116.92</v>
      </c>
      <c r="K13" s="112"/>
      <c r="L13" s="159"/>
      <c r="M13" s="112"/>
      <c r="N13" s="112"/>
      <c r="O13" s="72" t="s">
        <v>85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59315.199999999997</v>
      </c>
      <c r="K14" s="112"/>
      <c r="L14" s="159"/>
      <c r="M14" s="112"/>
      <c r="N14" s="112"/>
      <c r="O14" s="72" t="s">
        <v>86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181289.43</v>
      </c>
      <c r="K15" s="112"/>
      <c r="L15" s="159"/>
      <c r="M15" s="112"/>
      <c r="N15" s="112"/>
      <c r="O15" s="72" t="s">
        <v>87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181289.43</v>
      </c>
      <c r="K16" s="112"/>
      <c r="L16" s="159"/>
      <c r="M16" s="112"/>
      <c r="N16" s="112"/>
      <c r="O16" s="72" t="s">
        <v>88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9"/>
      <c r="M17" s="112"/>
      <c r="N17" s="112"/>
      <c r="O17" s="72" t="s">
        <v>89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9"/>
      <c r="M18" s="112"/>
      <c r="N18" s="112"/>
      <c r="O18" s="72" t="s">
        <v>90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9"/>
      <c r="M19" s="112"/>
      <c r="N19" s="112"/>
      <c r="O19" s="72" t="s">
        <v>91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9"/>
      <c r="M20" s="112"/>
      <c r="N20" s="112"/>
      <c r="O20" s="72" t="s">
        <v>92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181289.43</v>
      </c>
      <c r="K21" s="112"/>
      <c r="L21" s="159"/>
      <c r="M21" s="112"/>
      <c r="N21" s="112"/>
      <c r="O21" s="72" t="s">
        <v>93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9"/>
      <c r="M22" s="112"/>
      <c r="N22" s="112"/>
      <c r="O22" s="72" t="s">
        <v>94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9"/>
      <c r="M23" s="112"/>
      <c r="N23" s="112"/>
      <c r="O23" s="72" t="s">
        <v>95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124018.89000000001</v>
      </c>
      <c r="K24" s="112"/>
      <c r="L24" s="159"/>
      <c r="M24" s="112"/>
      <c r="N24" s="112"/>
      <c r="O24" s="72" t="s">
        <v>96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2"/>
      <c r="L27" s="160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18692.04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2"/>
      <c r="L28" s="160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3">
        <f>ПТО!A40</f>
        <v>0</v>
      </c>
      <c r="B29" s="143"/>
      <c r="C29" s="143"/>
      <c r="D29" s="143"/>
      <c r="E29" s="143"/>
      <c r="F29" s="148" t="e">
        <f>VLOOKUP(A29,ПТО!$A$39:$D$53,2,FALSE)</f>
        <v>#N/A</v>
      </c>
      <c r="G29" s="148"/>
      <c r="H29" s="42" t="e">
        <f>VLOOKUP(A29,ПТО!$A$39:$D$53,3,FALSE)</f>
        <v>#N/A</v>
      </c>
      <c r="I29" s="144" t="e">
        <f>VLOOKUP(A29,ПТО!$A$39:$D$53,4,FALSE)</f>
        <v>#N/A</v>
      </c>
      <c r="J29" s="144"/>
      <c r="K29" s="112"/>
      <c r="L29" s="160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34192.800000000003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2"/>
      <c r="L30" s="160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13677.12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2"/>
      <c r="L31" s="160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2"/>
      <c r="L32" s="160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5698.8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2"/>
      <c r="L33" s="160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26328.48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2"/>
      <c r="L34" s="160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3" t="str">
        <f>ПТО!A46</f>
        <v>Коммунальные ресурсы на содержание общего имущества</v>
      </c>
      <c r="B35" s="143"/>
      <c r="C35" s="143"/>
      <c r="D35" s="143"/>
      <c r="E35" s="143"/>
      <c r="F35" s="148">
        <f>VLOOKUP(A35,ПТО!$A$39:$D$53,2,FALSE)</f>
        <v>18227.368350000001</v>
      </c>
      <c r="G35" s="148"/>
      <c r="H35" s="42" t="str">
        <f>VLOOKUP(A35,ПТО!$A$39:$D$53,3,FALSE)</f>
        <v>Ежемесячно</v>
      </c>
      <c r="I35" s="144">
        <f>VLOOKUP(A35,ПТО!$A$39:$D$53,4,FALSE)</f>
        <v>12</v>
      </c>
      <c r="J35" s="144"/>
      <c r="K35" s="112"/>
      <c r="L35" s="160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2"/>
      <c r="L36" s="160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2"/>
      <c r="L37" s="160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2"/>
      <c r="L38" s="160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2"/>
      <c r="L39" s="160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2"/>
      <c r="L40" s="160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2"/>
      <c r="L41" s="160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2"/>
      <c r="L42" s="160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Ремонт теплообменника ГВС.</v>
      </c>
      <c r="B43" s="143"/>
      <c r="C43" s="143"/>
      <c r="D43" s="143"/>
      <c r="E43" s="143"/>
      <c r="F43" s="148">
        <f>VLOOKUP(A43,ПТО!$A$2:$D$31,4,FALSE)</f>
        <v>21834.69</v>
      </c>
      <c r="G43" s="148"/>
      <c r="H43" s="19" t="str">
        <f>VLOOKUP(A43,ПТО!$A$2:$D$31,2,FALSE)</f>
        <v>разово</v>
      </c>
      <c r="I43" s="144">
        <f>VLOOKUP(A43,ПТО!$A$2:$D$31,3,FALSE)</f>
        <v>1</v>
      </c>
      <c r="J43" s="144"/>
      <c r="K43" s="112"/>
      <c r="L43" s="160"/>
      <c r="M43" s="119"/>
      <c r="N43" s="112"/>
      <c r="O43" s="23" t="str">
        <f t="shared" si="1"/>
        <v>Ремонт теплообменника ГВС.</v>
      </c>
      <c r="R43" s="22" t="s">
        <v>72</v>
      </c>
    </row>
    <row r="44" spans="1:18" ht="51" customHeight="1" outlineLevel="1">
      <c r="A44" s="143" t="str">
        <f>ПТО!A3</f>
        <v>Ремонт подъезда (3-4 этажи).</v>
      </c>
      <c r="B44" s="143"/>
      <c r="C44" s="143"/>
      <c r="D44" s="143"/>
      <c r="E44" s="143"/>
      <c r="F44" s="148">
        <f>VLOOKUP(A44,ПТО!$A$2:$D$31,4,FALSE)</f>
        <v>89135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2"/>
      <c r="L44" s="160"/>
      <c r="M44" s="119"/>
      <c r="N44" s="112"/>
      <c r="O44" s="23" t="str">
        <f t="shared" si="1"/>
        <v>Ремонт подъезда (3-4 этажи).</v>
      </c>
      <c r="R44" s="22" t="s">
        <v>72</v>
      </c>
    </row>
    <row r="45" spans="1:18" ht="51" customHeight="1" outlineLevel="1">
      <c r="A45" s="143" t="str">
        <f>ПТО!A4</f>
        <v>Приобретение и установка информационного стенда на детскую площадку.</v>
      </c>
      <c r="B45" s="143"/>
      <c r="C45" s="143"/>
      <c r="D45" s="143"/>
      <c r="E45" s="143"/>
      <c r="F45" s="148">
        <f>VLOOKUP(A45,ПТО!$A$2:$D$31,4,FALSE)</f>
        <v>542.4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2"/>
      <c r="L45" s="160"/>
      <c r="M45" s="119"/>
      <c r="N45" s="112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hidden="1" customHeight="1" outlineLevel="1">
      <c r="A46" s="143">
        <f>ПТО!A5</f>
        <v>0</v>
      </c>
      <c r="B46" s="143"/>
      <c r="C46" s="143"/>
      <c r="D46" s="143"/>
      <c r="E46" s="143"/>
      <c r="F46" s="148" t="e">
        <f>VLOOKUP(A46,ПТО!$A$2:$D$31,4,FALSE)</f>
        <v>#N/A</v>
      </c>
      <c r="G46" s="148"/>
      <c r="H46" s="25" t="e">
        <f>VLOOKUP(A46,ПТО!$A$2:$D$31,2,FALSE)</f>
        <v>#N/A</v>
      </c>
      <c r="I46" s="144" t="e">
        <f>VLOOKUP(A46,ПТО!$A$2:$D$31,3,FALSE)</f>
        <v>#N/A</v>
      </c>
      <c r="J46" s="144"/>
      <c r="K46" s="112"/>
      <c r="L46" s="160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3">
        <f>ПТО!A6</f>
        <v>0</v>
      </c>
      <c r="B47" s="143"/>
      <c r="C47" s="143"/>
      <c r="D47" s="143"/>
      <c r="E47" s="143"/>
      <c r="F47" s="148" t="e">
        <f>VLOOKUP(A47,ПТО!$A$2:$D$31,4,FALSE)</f>
        <v>#N/A</v>
      </c>
      <c r="G47" s="148"/>
      <c r="H47" s="25" t="e">
        <f>VLOOKUP(A47,ПТО!$A$2:$D$31,2,FALSE)</f>
        <v>#N/A</v>
      </c>
      <c r="I47" s="144" t="e">
        <f>VLOOKUP(A47,ПТО!$A$2:$D$31,3,FALSE)</f>
        <v>#N/A</v>
      </c>
      <c r="J47" s="144"/>
      <c r="K47" s="112"/>
      <c r="L47" s="160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2"/>
      <c r="L48" s="160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2"/>
      <c r="L49" s="160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2"/>
      <c r="L50" s="160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2"/>
      <c r="L51" s="160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2"/>
      <c r="L52" s="160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2"/>
      <c r="L53" s="160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2"/>
      <c r="L54" s="160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2"/>
      <c r="L55" s="160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2"/>
      <c r="L56" s="160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2"/>
      <c r="L57" s="160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2"/>
      <c r="L58" s="160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2"/>
      <c r="L59" s="160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2"/>
      <c r="L60" s="160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2"/>
      <c r="L61" s="160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2"/>
      <c r="L62" s="160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2"/>
      <c r="L63" s="160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2"/>
      <c r="L64" s="160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2"/>
      <c r="L65" s="160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2"/>
      <c r="L66" s="160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2"/>
      <c r="L67" s="160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2"/>
      <c r="L68" s="160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2"/>
      <c r="L69" s="160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2"/>
      <c r="L70" s="160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9"/>
      <c r="L71" s="160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2"/>
      <c r="L72" s="160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172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2"/>
      <c r="L75" s="163"/>
      <c r="M75" s="112"/>
      <c r="N75" s="112"/>
      <c r="O75" s="72" t="s">
        <v>97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2"/>
      <c r="L76" s="163"/>
      <c r="M76" s="112"/>
      <c r="N76" s="112"/>
      <c r="O76" s="72" t="s">
        <v>98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2"/>
      <c r="L77" s="163"/>
      <c r="M77" s="112"/>
      <c r="N77" s="112"/>
      <c r="O77" s="72" t="s">
        <v>99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9">
        <f>VLOOKUP(O78,АО,3,FALSE)</f>
        <v>0</v>
      </c>
      <c r="K78" s="112"/>
      <c r="L78" s="163"/>
      <c r="M78" s="112"/>
      <c r="N78" s="112"/>
      <c r="O78" s="72" t="s">
        <v>100</v>
      </c>
    </row>
    <row r="79" spans="1:16384">
      <c r="A79" s="118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49"/>
      <c r="M81" s="112"/>
      <c r="N81" s="112"/>
      <c r="O81" s="72" t="s">
        <v>101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49"/>
      <c r="M82" s="112"/>
      <c r="N82" s="112"/>
      <c r="O82" s="72" t="s">
        <v>102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43268.71</v>
      </c>
      <c r="K83" s="112"/>
      <c r="L83" s="149"/>
      <c r="M83" s="112"/>
      <c r="N83" s="112"/>
      <c r="O83" s="72" t="s">
        <v>103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49"/>
      <c r="M84" s="112"/>
      <c r="N84" s="112"/>
      <c r="O84" s="72" t="s">
        <v>104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49"/>
      <c r="M85" s="112"/>
      <c r="N85" s="112"/>
      <c r="O85" s="72" t="s">
        <v>105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41124.93</v>
      </c>
      <c r="K86" s="112"/>
      <c r="L86" s="149"/>
      <c r="M86" s="112"/>
      <c r="N86" s="112"/>
      <c r="O86" s="72" t="s">
        <v>106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49"/>
      <c r="M87" s="112"/>
      <c r="N87" s="112"/>
      <c r="O87" s="72" t="s">
        <v>107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49"/>
      <c r="M88" s="112"/>
      <c r="N88" s="112"/>
      <c r="O88" s="72" t="s">
        <v>108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49"/>
      <c r="M89" s="112"/>
      <c r="N89" s="112"/>
      <c r="O89" s="72" t="s">
        <v>109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49"/>
      <c r="M90" s="112"/>
      <c r="N90" s="112"/>
      <c r="O90" s="72" t="s">
        <v>110</v>
      </c>
    </row>
    <row r="91" spans="1:15">
      <c r="A91" s="107" t="s">
        <v>172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16077.56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13397.97</v>
      </c>
      <c r="L95" s="150"/>
      <c r="O95" s="1" t="s">
        <v>111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12575.05</v>
      </c>
      <c r="L96" s="150"/>
      <c r="O96" s="1" t="s">
        <v>112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3502.51</v>
      </c>
      <c r="L97" s="150"/>
      <c r="O97" s="1" t="s">
        <v>113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16077.56</v>
      </c>
      <c r="L98" s="150"/>
      <c r="O98" s="1" t="s">
        <v>114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16077.56</v>
      </c>
      <c r="L99" s="150"/>
      <c r="O99" s="1" t="s">
        <v>115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116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117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2419.4499999999998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183.29</v>
      </c>
      <c r="L103" s="150"/>
      <c r="O103" s="1" t="s">
        <v>120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3886.24</v>
      </c>
      <c r="L104" s="150"/>
      <c r="O104" s="1" t="s">
        <v>121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122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2419.4499999999998</v>
      </c>
      <c r="L106" s="150"/>
      <c r="O106" s="1" t="s">
        <v>123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2419.4499999999998</v>
      </c>
      <c r="L107" s="150"/>
      <c r="O107" s="1" t="s">
        <v>124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125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126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3621.37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225.77</v>
      </c>
      <c r="L111" s="150"/>
      <c r="O111" s="1" t="s">
        <v>128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6519.87</v>
      </c>
      <c r="L112" s="150"/>
      <c r="O112" s="1" t="s">
        <v>129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130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3621.37</v>
      </c>
      <c r="L114" s="150"/>
      <c r="O114" s="1" t="s">
        <v>131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3621.37</v>
      </c>
      <c r="L115" s="150"/>
      <c r="O115" s="1" t="s">
        <v>132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133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134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9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9"/>
      <c r="O119" s="1" t="s">
        <v>136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9"/>
      <c r="O120" s="1" t="s">
        <v>137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9"/>
      <c r="O121" s="1" t="s">
        <v>138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9"/>
      <c r="O122" s="1" t="s">
        <v>139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9"/>
      <c r="O123" s="1" t="s">
        <v>140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141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142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7">
        <f>VLOOKUP("гвс",АО,5,FALSE)</f>
        <v>781.22</v>
      </c>
      <c r="H126" s="146"/>
      <c r="I126" s="146"/>
      <c r="J126" s="146"/>
      <c r="L126" s="49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59.18</v>
      </c>
      <c r="L127" s="49"/>
      <c r="O127" s="1" t="s">
        <v>144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2062.2199999999998</v>
      </c>
      <c r="L128" s="49"/>
      <c r="O128" s="1" t="s">
        <v>145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9"/>
      <c r="O129" s="1" t="s">
        <v>146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781.22</v>
      </c>
      <c r="L130" s="49"/>
      <c r="O130" s="1" t="s">
        <v>147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781.22</v>
      </c>
      <c r="L131" s="49"/>
      <c r="O131" s="1" t="s">
        <v>148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149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150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9"/>
      <c r="O135" s="1" t="s">
        <v>152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9"/>
      <c r="O136" s="1" t="s">
        <v>153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154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9"/>
      <c r="O138" s="1" t="s">
        <v>155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9"/>
      <c r="O139" s="1" t="s">
        <v>156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157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158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168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4</v>
      </c>
      <c r="L145" s="15"/>
      <c r="O145" t="s">
        <v>169</v>
      </c>
    </row>
    <row r="146" spans="1:15" ht="30" customHeight="1" outlineLevel="1">
      <c r="A146" s="141" t="s">
        <v>171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121600.65</v>
      </c>
      <c r="O146" t="s">
        <v>170</v>
      </c>
    </row>
    <row r="149" spans="1:15" ht="52.5" customHeight="1">
      <c r="A149" s="166" t="s">
        <v>176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8" t="s">
        <v>177</v>
      </c>
      <c r="B154" s="168"/>
      <c r="C154" s="168"/>
      <c r="D154" s="168"/>
      <c r="E154" s="27">
        <f>ПТО!G1</f>
        <v>-23754.82</v>
      </c>
    </row>
    <row r="155" spans="1:15" ht="34.5" customHeight="1">
      <c r="A155" s="167" t="s">
        <v>181</v>
      </c>
      <c r="B155" s="167"/>
      <c r="C155" s="167"/>
      <c r="D155" s="167"/>
      <c r="E155" s="28">
        <f>J13</f>
        <v>62116.92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Ремонт теплообменника ГВС.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21834.69</v>
      </c>
      <c r="G158" s="148"/>
      <c r="H158" s="24" t="str">
        <f t="shared" ref="H158:H187" si="16">VLOOKUP(A158,$A$28:$J$72,8,FALSE)</f>
        <v>разово</v>
      </c>
      <c r="I158" s="144">
        <f t="shared" ref="I158:I161" si="17">VLOOKUP(A158,$A$28:$J$72,9,FALSE)</f>
        <v>1</v>
      </c>
      <c r="J158" s="144"/>
      <c r="M158" s="22" t="s">
        <v>72</v>
      </c>
      <c r="N158" s="1" t="str">
        <f t="array" ref="N158:N187">INDEX($O$43:$O$72,SMALL(IF($M$158=R43:R72,ROW(O43:O72)-42,""),ROW()-157))</f>
        <v>Ремонт теплообменника ГВС.</v>
      </c>
    </row>
    <row r="159" spans="1:15" ht="28.5" customHeight="1">
      <c r="A159" s="143" t="str">
        <f t="shared" si="14"/>
        <v>Ремонт подъезда (3-4 этажи).</v>
      </c>
      <c r="B159" s="143"/>
      <c r="C159" s="143"/>
      <c r="D159" s="143"/>
      <c r="E159" s="143"/>
      <c r="F159" s="148">
        <f t="shared" si="15"/>
        <v>89135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Ремонт подъезда (3-4 этажи).</v>
      </c>
    </row>
    <row r="160" spans="1:15" ht="28.5" customHeight="1">
      <c r="A160" s="143" t="str">
        <f t="shared" si="14"/>
        <v>Приобретение и установка информационного стенда на детскую площадку.</v>
      </c>
      <c r="B160" s="143"/>
      <c r="C160" s="143"/>
      <c r="D160" s="143"/>
      <c r="E160" s="143"/>
      <c r="F160" s="148">
        <f t="shared" si="15"/>
        <v>542.4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hidden="1" customHeight="1">
      <c r="A161" s="143">
        <f>IF(N161&gt;0,N161,0)</f>
        <v>0</v>
      </c>
      <c r="B161" s="143"/>
      <c r="C161" s="143"/>
      <c r="D161" s="143"/>
      <c r="E161" s="143"/>
      <c r="F161" s="148">
        <f t="shared" si="15"/>
        <v>0</v>
      </c>
      <c r="G161" s="148"/>
      <c r="H161" s="24" t="e">
        <f t="shared" si="16"/>
        <v>#N/A</v>
      </c>
      <c r="I161" s="144" t="e">
        <f t="shared" si="17"/>
        <v>#N/A</v>
      </c>
      <c r="J161" s="144"/>
      <c r="M161" s="22" t="s">
        <v>72</v>
      </c>
      <c r="N161" s="1">
        <v>0</v>
      </c>
    </row>
    <row r="162" spans="1:14" ht="28.5" hidden="1" customHeight="1">
      <c r="A162" s="143">
        <f t="shared" si="14"/>
        <v>0</v>
      </c>
      <c r="B162" s="143"/>
      <c r="C162" s="143"/>
      <c r="D162" s="143"/>
      <c r="E162" s="143"/>
      <c r="F162" s="148">
        <f t="shared" si="15"/>
        <v>0</v>
      </c>
      <c r="G162" s="148"/>
      <c r="H162" s="24" t="e">
        <f t="shared" si="16"/>
        <v>#N/A</v>
      </c>
      <c r="I162" s="144" t="e">
        <f>VLOOKUP(A162,$A$28:$J$72,9,FALSE)</f>
        <v>#N/A</v>
      </c>
      <c r="J162" s="144"/>
      <c r="M162" s="22" t="s">
        <v>72</v>
      </c>
      <c r="N162" s="1">
        <v>0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7" t="s">
        <v>172</v>
      </c>
    </row>
    <row r="189" spans="1:14" ht="29.25" customHeight="1">
      <c r="A189" s="107" t="s">
        <v>172</v>
      </c>
    </row>
    <row r="190" spans="1:14" ht="36.75" customHeight="1">
      <c r="A190" s="168" t="s">
        <v>180</v>
      </c>
      <c r="B190" s="168"/>
      <c r="C190" s="168"/>
      <c r="D190" s="168"/>
      <c r="E190" s="27">
        <f>SUM(F158:G187)</f>
        <v>111512.09</v>
      </c>
    </row>
    <row r="191" spans="1:14" ht="51.75" customHeight="1">
      <c r="A191" s="168" t="s">
        <v>179</v>
      </c>
      <c r="B191" s="168"/>
      <c r="C191" s="168"/>
      <c r="D191" s="168"/>
      <c r="E191" s="27">
        <f>E190+E154-E155</f>
        <v>25640.349999999991</v>
      </c>
    </row>
    <row r="192" spans="1:14">
      <c r="A192" s="107" t="s">
        <v>172</v>
      </c>
    </row>
    <row r="193" spans="1:10" ht="62.25" customHeight="1">
      <c r="A193" s="142" t="s">
        <v>178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 hidden="1">
      <c r="A194" s="140">
        <f>ПТО!F12</f>
        <v>0</v>
      </c>
      <c r="B194" s="140"/>
      <c r="C194" s="140"/>
      <c r="D194" s="140"/>
      <c r="E194" s="140"/>
      <c r="F194" s="140"/>
      <c r="G194" s="140"/>
      <c r="H194" s="51">
        <f>ПТО!G12</f>
        <v>0</v>
      </c>
      <c r="I194" s="52" t="s">
        <v>73</v>
      </c>
    </row>
    <row r="195" spans="1:10" ht="18.75" hidden="1" customHeight="1">
      <c r="A195" s="140">
        <f>ПТО!F13</f>
        <v>0</v>
      </c>
      <c r="B195" s="140"/>
      <c r="C195" s="140"/>
      <c r="D195" s="140"/>
      <c r="E195" s="140"/>
      <c r="F195" s="140"/>
      <c r="G195" s="140"/>
      <c r="H195" s="51">
        <f>ПТО!G13</f>
        <v>0</v>
      </c>
      <c r="I195" s="52" t="s">
        <v>73</v>
      </c>
    </row>
    <row r="196" spans="1:10" ht="18.75" hidden="1" customHeight="1">
      <c r="A196" s="140">
        <f>ПТО!F14</f>
        <v>0</v>
      </c>
      <c r="B196" s="140"/>
      <c r="C196" s="140"/>
      <c r="D196" s="140"/>
      <c r="E196" s="140"/>
      <c r="F196" s="140"/>
      <c r="G196" s="140"/>
      <c r="H196" s="51">
        <f>ПТО!G14</f>
        <v>0</v>
      </c>
      <c r="I196" s="52" t="s">
        <v>73</v>
      </c>
    </row>
    <row r="197" spans="1:10" ht="18.75" hidden="1" customHeight="1">
      <c r="A197" s="140">
        <f>ПТО!F15</f>
        <v>0</v>
      </c>
      <c r="B197" s="140"/>
      <c r="C197" s="140"/>
      <c r="D197" s="140"/>
      <c r="E197" s="140"/>
      <c r="F197" s="140"/>
      <c r="G197" s="140"/>
      <c r="H197" s="51">
        <f>ПТО!G15</f>
        <v>0</v>
      </c>
      <c r="I197" s="52" t="s">
        <v>73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1">
        <f>ПТО!G16</f>
        <v>0</v>
      </c>
      <c r="I198" s="54" t="s">
        <v>73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1">
        <f>ПТО!G17</f>
        <v>0</v>
      </c>
      <c r="I199" s="52" t="s">
        <v>73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1">
        <f>ПТО!G18</f>
        <v>0</v>
      </c>
      <c r="I200" s="52" t="s">
        <v>73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1">
        <f>ПТО!G19</f>
        <v>0</v>
      </c>
      <c r="I201" s="52" t="s">
        <v>73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1">
        <f>ПТО!G20</f>
        <v>0</v>
      </c>
      <c r="I202" s="52" t="s">
        <v>73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1">
        <f>ПТО!G21</f>
        <v>0</v>
      </c>
      <c r="I203" s="52" t="s">
        <v>73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1">
        <f>ПТО!G22</f>
        <v>0</v>
      </c>
      <c r="I204" s="52" t="s">
        <v>73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1">
        <f>ПТО!G23</f>
        <v>0</v>
      </c>
      <c r="I205" s="52" t="s">
        <v>73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1">
        <f>ПТО!G24</f>
        <v>0</v>
      </c>
      <c r="I206" s="52" t="s">
        <v>73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1">
        <f>ПТО!G25</f>
        <v>0</v>
      </c>
      <c r="I207" s="52" t="s">
        <v>73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1">
        <f>ПТО!G26</f>
        <v>0</v>
      </c>
      <c r="I208" s="52" t="s">
        <v>73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1">
        <f>ПТО!G27</f>
        <v>0</v>
      </c>
      <c r="I209" s="52" t="s">
        <v>73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1">
        <f>ПТО!G28</f>
        <v>0</v>
      </c>
      <c r="I210" s="52" t="s">
        <v>73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1">
        <f>ПТО!G29</f>
        <v>0</v>
      </c>
      <c r="I211" s="52" t="s">
        <v>73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1">
        <f>ПТО!G30</f>
        <v>0</v>
      </c>
      <c r="I212" s="52" t="s">
        <v>73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1">
        <f>ПТО!G31</f>
        <v>0</v>
      </c>
      <c r="I213" s="52" t="s">
        <v>73</v>
      </c>
    </row>
    <row r="214" spans="1:9">
      <c r="A214" s="55" t="s">
        <v>74</v>
      </c>
      <c r="B214" s="56"/>
      <c r="C214" s="56"/>
      <c r="D214" s="56"/>
      <c r="E214" s="56"/>
      <c r="F214" s="56"/>
      <c r="G214" s="56"/>
      <c r="H214" s="57">
        <f>SUM(H194:H213)</f>
        <v>0</v>
      </c>
      <c r="I214" s="58" t="s">
        <v>75</v>
      </c>
    </row>
  </sheetData>
  <sheetProtection algorithmName="SHA-512" hashValue="WyHBxI58jy/gl0J/seITRRy0buWLJReM5lgs3+QtjkuciaxdMMNkwKEKfR2mrJGAgemPqUjX7Mex1wN9yBvrAQ==" saltValue="3xue3YlReM2eAbhGWdZ2W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177</v>
      </c>
      <c r="G1" s="104">
        <f>-23754.82</f>
        <v>-23754.82</v>
      </c>
    </row>
    <row r="2" spans="1:12" ht="18.75" customHeight="1">
      <c r="A2" s="123" t="s">
        <v>182</v>
      </c>
      <c r="B2" s="124" t="s">
        <v>183</v>
      </c>
      <c r="C2" s="125">
        <v>1</v>
      </c>
      <c r="D2" s="126">
        <v>21834.69</v>
      </c>
      <c r="E2" s="127" t="s">
        <v>184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185</v>
      </c>
      <c r="B3" s="124" t="s">
        <v>183</v>
      </c>
      <c r="C3" s="125">
        <v>1</v>
      </c>
      <c r="D3" s="126">
        <v>89135</v>
      </c>
      <c r="E3" s="127" t="s">
        <v>186</v>
      </c>
      <c r="F3" s="30"/>
      <c r="G3" s="30"/>
      <c r="L3" s="33" t="str">
        <f t="shared" si="0"/>
        <v>ТР</v>
      </c>
    </row>
    <row r="4" spans="1:12" ht="18.75" customHeight="1">
      <c r="A4" s="133" t="s">
        <v>187</v>
      </c>
      <c r="B4" s="124" t="s">
        <v>183</v>
      </c>
      <c r="C4" s="125">
        <v>1</v>
      </c>
      <c r="D4" s="134">
        <v>542.4</v>
      </c>
      <c r="E4" s="135" t="s">
        <v>188</v>
      </c>
      <c r="F4" s="30"/>
      <c r="G4" s="30"/>
      <c r="L4" s="33" t="str">
        <f t="shared" si="0"/>
        <v>ТР</v>
      </c>
    </row>
    <row r="5" spans="1:12" ht="18.75" customHeight="1">
      <c r="A5" s="46"/>
      <c r="B5" s="128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178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29"/>
      <c r="G13" s="130"/>
      <c r="L13" s="33">
        <f t="shared" si="0"/>
        <v>0</v>
      </c>
    </row>
    <row r="14" spans="1:12" ht="15.75">
      <c r="A14" s="30"/>
      <c r="F14" s="131"/>
      <c r="G14" s="132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18692.04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18692.04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34192.800000000003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34192.800000000003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13677.12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13677.12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5698.8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5698.8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26328.48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26328.48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189</v>
      </c>
      <c r="B46" s="136">
        <f>(E46*G52*F54*6+E46*G52*G54*6)+(F46*G58*F60*6+F46*G58*G60*6)+(F46*G62*F64*6+F46*G62*G64*6)</f>
        <v>18227.368350000001</v>
      </c>
      <c r="C46" s="137" t="s">
        <v>68</v>
      </c>
      <c r="D46" s="50">
        <v>12</v>
      </c>
      <c r="E46" s="136">
        <v>423.8</v>
      </c>
      <c r="F46" s="136">
        <v>112.9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18227.368350000001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8"/>
      <c r="C47" s="137"/>
      <c r="D47" s="50"/>
      <c r="F47" s="31" t="s">
        <v>190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9" t="s">
        <v>191</v>
      </c>
      <c r="F51" s="139" t="s">
        <v>192</v>
      </c>
      <c r="G51" s="139" t="s">
        <v>193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9"/>
      <c r="F52" s="136">
        <v>1129.2</v>
      </c>
      <c r="G52" s="139">
        <v>2.5</v>
      </c>
      <c r="H52" s="139">
        <f>G52*E46/F52</f>
        <v>0.93827488487424726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9"/>
      <c r="F53" s="139" t="s">
        <v>194</v>
      </c>
      <c r="G53" s="139" t="s">
        <v>195</v>
      </c>
      <c r="H53" s="139">
        <f>H52*G55</f>
        <v>19.703772582359193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9"/>
      <c r="F54" s="139">
        <v>1.17</v>
      </c>
      <c r="G54" s="139">
        <v>1.23</v>
      </c>
      <c r="H54" s="139"/>
    </row>
    <row r="55" spans="5:16">
      <c r="E55" s="139"/>
      <c r="F55" s="139"/>
      <c r="G55" s="139">
        <v>21</v>
      </c>
      <c r="H55" s="139"/>
    </row>
    <row r="56" spans="5:16">
      <c r="E56" s="139"/>
      <c r="F56" s="139"/>
      <c r="G56" s="139"/>
      <c r="H56" s="139"/>
    </row>
    <row r="57" spans="5:16">
      <c r="E57" s="139" t="s">
        <v>196</v>
      </c>
      <c r="F57" s="139"/>
      <c r="G57" s="139"/>
      <c r="H57" s="139"/>
    </row>
    <row r="58" spans="5:16">
      <c r="E58" s="139"/>
      <c r="F58" s="136">
        <f>F52</f>
        <v>1129.2</v>
      </c>
      <c r="G58" s="139">
        <v>7.4999999999999997E-2</v>
      </c>
      <c r="H58" s="139">
        <f>G58*F46</f>
        <v>8.4674999999999994</v>
      </c>
    </row>
    <row r="59" spans="5:16">
      <c r="E59" s="139"/>
      <c r="F59" s="139" t="s">
        <v>194</v>
      </c>
      <c r="G59" s="139" t="s">
        <v>195</v>
      </c>
      <c r="H59" s="139">
        <f>H58/F58</f>
        <v>7.498671625929861E-3</v>
      </c>
    </row>
    <row r="60" spans="5:16">
      <c r="E60" s="139"/>
      <c r="F60" s="139">
        <v>12.94</v>
      </c>
      <c r="G60" s="139">
        <v>13.45</v>
      </c>
      <c r="H60" s="139">
        <f>H59*G55</f>
        <v>0.15747210414452709</v>
      </c>
    </row>
    <row r="61" spans="5:16">
      <c r="E61" s="139" t="s">
        <v>197</v>
      </c>
      <c r="F61" s="139"/>
      <c r="G61" s="139"/>
      <c r="H61" s="139"/>
    </row>
    <row r="62" spans="5:16">
      <c r="E62" s="139"/>
      <c r="F62" s="136">
        <f>F52</f>
        <v>1129.2</v>
      </c>
      <c r="G62" s="139">
        <v>7.4999999999999997E-2</v>
      </c>
      <c r="H62" s="139">
        <f>G62*F46</f>
        <v>8.4674999999999994</v>
      </c>
    </row>
    <row r="63" spans="5:16">
      <c r="E63" s="139"/>
      <c r="F63" s="139" t="s">
        <v>194</v>
      </c>
      <c r="G63" s="139" t="s">
        <v>195</v>
      </c>
      <c r="H63" s="139">
        <f>H62/F62</f>
        <v>7.498671625929861E-3</v>
      </c>
    </row>
    <row r="64" spans="5:16">
      <c r="E64" s="139"/>
      <c r="F64" s="139">
        <v>15.73</v>
      </c>
      <c r="G64" s="139">
        <v>16.350000000000001</v>
      </c>
      <c r="H64" s="139">
        <f>H63*G55</f>
        <v>0.15747210414452709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F30" sqref="F30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174</v>
      </c>
      <c r="F1" s="62">
        <v>949.8</v>
      </c>
    </row>
    <row r="2" spans="1:10" ht="15.75" customHeight="1">
      <c r="A2" s="72" t="s">
        <v>80</v>
      </c>
      <c r="B2" s="74" t="s">
        <v>2</v>
      </c>
      <c r="C2" s="85">
        <v>0</v>
      </c>
      <c r="D2" s="83" t="s">
        <v>58</v>
      </c>
      <c r="E2" s="121">
        <v>5.45</v>
      </c>
      <c r="F2" s="122" t="s">
        <v>175</v>
      </c>
      <c r="G2" s="63"/>
      <c r="H2" s="63"/>
      <c r="I2" s="63"/>
      <c r="J2" s="63"/>
    </row>
    <row r="3" spans="1:10" ht="15.75" customHeight="1">
      <c r="A3" s="72" t="s">
        <v>81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82</v>
      </c>
      <c r="B4" s="74" t="s">
        <v>4</v>
      </c>
      <c r="C4" s="85">
        <v>78668.5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83</v>
      </c>
      <c r="B5" s="74" t="s">
        <v>5</v>
      </c>
      <c r="C5" s="81">
        <f>SUM(C6:C8)</f>
        <v>226639.82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84</v>
      </c>
      <c r="B6" s="74" t="s">
        <v>6</v>
      </c>
      <c r="C6" s="85">
        <v>105207.7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85</v>
      </c>
      <c r="B7" s="74" t="s">
        <v>7</v>
      </c>
      <c r="C7" s="85">
        <f>F1*5.45*12</f>
        <v>62116.92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86</v>
      </c>
      <c r="B8" s="74" t="s">
        <v>8</v>
      </c>
      <c r="C8" s="85">
        <v>59315.199999999997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87</v>
      </c>
      <c r="B9" s="74" t="s">
        <v>9</v>
      </c>
      <c r="C9" s="81">
        <f>SUM(C10:C14)</f>
        <v>181289.43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88</v>
      </c>
      <c r="B10" s="74" t="s">
        <v>10</v>
      </c>
      <c r="C10" s="85">
        <v>181289.43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89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90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91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92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93</v>
      </c>
      <c r="B15" s="74" t="s">
        <v>15</v>
      </c>
      <c r="C15" s="81">
        <f>C9</f>
        <v>181289.43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94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95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96</v>
      </c>
      <c r="B18" s="74" t="s">
        <v>18</v>
      </c>
      <c r="C18" s="81">
        <f>IF(C16&gt;0,0,IF(C4&gt;0,C4+C5-C9,C5-C2-C9))</f>
        <v>124018.89000000001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159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97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98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99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100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160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101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102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103</v>
      </c>
      <c r="B27" s="77" t="s">
        <v>4</v>
      </c>
      <c r="C27" s="88">
        <v>43268.71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104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105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106</v>
      </c>
      <c r="B30" s="77" t="s">
        <v>18</v>
      </c>
      <c r="C30" s="88">
        <v>41124.93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107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108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109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110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161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162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118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16077.56</v>
      </c>
      <c r="F37" s="96" t="s">
        <v>165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111</v>
      </c>
      <c r="B38" s="80" t="s">
        <v>37</v>
      </c>
      <c r="C38" s="92">
        <v>13397.97</v>
      </c>
      <c r="D38" s="96" t="s">
        <v>163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112</v>
      </c>
      <c r="B39" s="80" t="s">
        <v>38</v>
      </c>
      <c r="C39" s="93">
        <v>12575.05</v>
      </c>
      <c r="D39" s="96" t="s">
        <v>164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113</v>
      </c>
      <c r="B40" s="80" t="s">
        <v>39</v>
      </c>
      <c r="C40" s="95">
        <f>IF(E37-C39&lt;0,0,E37-C39)</f>
        <v>3502.51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114</v>
      </c>
      <c r="B41" s="80" t="s">
        <v>40</v>
      </c>
      <c r="C41" s="95">
        <f>E37</f>
        <v>16077.56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115</v>
      </c>
      <c r="B42" s="80" t="s">
        <v>41</v>
      </c>
      <c r="C42" s="95">
        <f>E37</f>
        <v>16077.56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116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117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119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2419.4499999999998</v>
      </c>
      <c r="F45" s="96" t="s">
        <v>165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120</v>
      </c>
      <c r="B46" s="80" t="s">
        <v>37</v>
      </c>
      <c r="C46" s="92">
        <v>183.29</v>
      </c>
      <c r="D46" s="96" t="s">
        <v>166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121</v>
      </c>
      <c r="B47" s="80" t="s">
        <v>38</v>
      </c>
      <c r="C47" s="93">
        <v>3886.24</v>
      </c>
      <c r="D47" s="96" t="s">
        <v>164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122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123</v>
      </c>
      <c r="B49" s="80" t="s">
        <v>40</v>
      </c>
      <c r="C49" s="95">
        <f>E45</f>
        <v>2419.4499999999998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124</v>
      </c>
      <c r="B50" s="80" t="s">
        <v>41</v>
      </c>
      <c r="C50" s="95">
        <f>E45</f>
        <v>2419.4499999999998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125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126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127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3621.37</v>
      </c>
      <c r="F53" s="96" t="s">
        <v>165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128</v>
      </c>
      <c r="B54" s="77" t="s">
        <v>37</v>
      </c>
      <c r="C54" s="101">
        <v>225.77</v>
      </c>
      <c r="D54" s="96" t="s">
        <v>166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129</v>
      </c>
      <c r="B55" s="77" t="s">
        <v>38</v>
      </c>
      <c r="C55" s="88">
        <v>6519.87</v>
      </c>
      <c r="D55" s="96" t="s">
        <v>164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130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131</v>
      </c>
      <c r="B57" s="77" t="s">
        <v>40</v>
      </c>
      <c r="C57" s="95">
        <f>E53</f>
        <v>3621.37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132</v>
      </c>
      <c r="B58" s="77" t="s">
        <v>41</v>
      </c>
      <c r="C58" s="95">
        <f>E53</f>
        <v>3621.37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133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134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135</v>
      </c>
      <c r="B61" s="79" t="s">
        <v>76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165</v>
      </c>
      <c r="G61" s="68"/>
      <c r="H61" s="68"/>
    </row>
    <row r="62" spans="1:15" ht="15.75" customHeight="1">
      <c r="A62" s="75" t="s">
        <v>136</v>
      </c>
      <c r="B62" s="77" t="s">
        <v>37</v>
      </c>
      <c r="C62" s="101">
        <v>0</v>
      </c>
      <c r="D62" s="96" t="s">
        <v>166</v>
      </c>
      <c r="E62" s="71"/>
      <c r="G62" s="66"/>
      <c r="H62" s="66"/>
    </row>
    <row r="63" spans="1:15" ht="15.75" customHeight="1">
      <c r="A63" s="75" t="s">
        <v>137</v>
      </c>
      <c r="B63" s="77" t="s">
        <v>38</v>
      </c>
      <c r="C63" s="88">
        <v>0</v>
      </c>
      <c r="D63" s="96" t="s">
        <v>164</v>
      </c>
      <c r="E63" s="71"/>
      <c r="G63" s="66"/>
      <c r="H63" s="66"/>
    </row>
    <row r="64" spans="1:15" ht="15.75" customHeight="1">
      <c r="A64" s="75" t="s">
        <v>138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139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140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141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142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143</v>
      </c>
      <c r="B69" s="79" t="s">
        <v>77</v>
      </c>
      <c r="C69" s="98" t="str">
        <f>IF(E69&gt;0,"Предоставляется",0)</f>
        <v>Предоставляется</v>
      </c>
      <c r="D69" s="98" t="s">
        <v>55</v>
      </c>
      <c r="E69" s="97">
        <v>781.22</v>
      </c>
      <c r="F69" s="96" t="s">
        <v>165</v>
      </c>
      <c r="G69" s="68"/>
      <c r="H69" s="68"/>
    </row>
    <row r="70" spans="1:8" ht="15.75" customHeight="1">
      <c r="A70" s="75" t="s">
        <v>144</v>
      </c>
      <c r="B70" s="77" t="s">
        <v>37</v>
      </c>
      <c r="C70" s="101">
        <v>59.18</v>
      </c>
      <c r="D70" s="96" t="s">
        <v>166</v>
      </c>
      <c r="E70" s="71"/>
      <c r="G70" s="66"/>
      <c r="H70" s="66"/>
    </row>
    <row r="71" spans="1:8" ht="15.75" customHeight="1">
      <c r="A71" s="75" t="s">
        <v>145</v>
      </c>
      <c r="B71" s="77" t="s">
        <v>38</v>
      </c>
      <c r="C71" s="88">
        <v>2062.2199999999998</v>
      </c>
      <c r="D71" s="96" t="s">
        <v>164</v>
      </c>
      <c r="E71" s="71"/>
      <c r="G71" s="66"/>
      <c r="H71" s="66"/>
    </row>
    <row r="72" spans="1:8" ht="15.75" customHeight="1">
      <c r="A72" s="75" t="s">
        <v>146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147</v>
      </c>
      <c r="B73" s="77" t="s">
        <v>40</v>
      </c>
      <c r="C73" s="95">
        <f>E69</f>
        <v>781.22</v>
      </c>
      <c r="D73" s="82" t="s">
        <v>59</v>
      </c>
      <c r="E73" s="71"/>
      <c r="G73" s="66"/>
      <c r="H73" s="66"/>
    </row>
    <row r="74" spans="1:8" ht="15.75" customHeight="1">
      <c r="A74" s="75" t="s">
        <v>148</v>
      </c>
      <c r="B74" s="77" t="s">
        <v>41</v>
      </c>
      <c r="C74" s="95">
        <f>E69</f>
        <v>781.22</v>
      </c>
      <c r="D74" s="82" t="s">
        <v>59</v>
      </c>
      <c r="E74" s="71"/>
      <c r="G74" s="66"/>
      <c r="H74" s="66"/>
    </row>
    <row r="75" spans="1:8" ht="15.75" customHeight="1">
      <c r="A75" s="75" t="s">
        <v>149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150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151</v>
      </c>
      <c r="B77" s="79" t="s">
        <v>78</v>
      </c>
      <c r="C77" s="98">
        <f>IF(E77&gt;0,"Предоставляется",0)</f>
        <v>0</v>
      </c>
      <c r="D77" s="98" t="s">
        <v>79</v>
      </c>
      <c r="E77" s="97">
        <v>0</v>
      </c>
      <c r="F77" s="96" t="s">
        <v>165</v>
      </c>
      <c r="G77" s="68"/>
      <c r="H77" s="68"/>
    </row>
    <row r="78" spans="1:8" ht="15.75" customHeight="1">
      <c r="A78" s="75" t="s">
        <v>152</v>
      </c>
      <c r="B78" s="77" t="s">
        <v>37</v>
      </c>
      <c r="C78" s="101">
        <v>0</v>
      </c>
      <c r="D78" s="96" t="s">
        <v>167</v>
      </c>
      <c r="E78" s="66"/>
      <c r="G78" s="66"/>
      <c r="H78" s="66"/>
    </row>
    <row r="79" spans="1:8" ht="15.75" customHeight="1">
      <c r="A79" s="75" t="s">
        <v>153</v>
      </c>
      <c r="B79" s="77" t="s">
        <v>38</v>
      </c>
      <c r="C79" s="88">
        <v>0</v>
      </c>
      <c r="D79" s="96" t="s">
        <v>164</v>
      </c>
      <c r="E79" s="66"/>
      <c r="G79" s="66"/>
      <c r="H79" s="66"/>
    </row>
    <row r="80" spans="1:8" ht="15.75" customHeight="1">
      <c r="A80" s="75" t="s">
        <v>154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155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156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157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158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2" sqref="C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168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169</v>
      </c>
      <c r="B3" s="61" t="s">
        <v>46</v>
      </c>
      <c r="C3" s="108">
        <v>4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170</v>
      </c>
      <c r="B4" s="61" t="s">
        <v>47</v>
      </c>
      <c r="C4" s="109">
        <v>121600.65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2022-03-25T08:44:35Z</dcterms:modified>
</cp:coreProperties>
</file>