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H59" i="2" s="1"/>
  <c r="H60" i="2" s="1"/>
  <c r="F58" i="2"/>
  <c r="H52" i="2"/>
  <c r="H53" i="2" s="1"/>
  <c r="B46" i="2"/>
  <c r="C7" i="3" l="1"/>
  <c r="G1" i="2" l="1"/>
  <c r="J141" i="1" l="1"/>
  <c r="J136" i="1"/>
  <c r="J135" i="1"/>
  <c r="A140" i="1"/>
  <c r="G134" i="1"/>
  <c r="J133" i="1"/>
  <c r="J128" i="1"/>
  <c r="J127" i="1"/>
  <c r="G126" i="1"/>
  <c r="C37" i="3"/>
  <c r="C45" i="3"/>
  <c r="A106" i="1" s="1"/>
  <c r="C53" i="3"/>
  <c r="A116" i="1" s="1"/>
  <c r="C61" i="3"/>
  <c r="A122" i="1" s="1"/>
  <c r="C77" i="3"/>
  <c r="A138" i="1" s="1"/>
  <c r="C69" i="3"/>
  <c r="A132" i="1" s="1"/>
  <c r="J125" i="1"/>
  <c r="J120" i="1"/>
  <c r="J119" i="1"/>
  <c r="A123" i="1"/>
  <c r="A120" i="1"/>
  <c r="G118" i="1"/>
  <c r="D118" i="1"/>
  <c r="A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24" i="1" l="1"/>
  <c r="A119" i="1"/>
  <c r="A102" i="1"/>
  <c r="A103" i="1"/>
  <c r="A107" i="1"/>
  <c r="A113" i="1"/>
  <c r="A114" i="1"/>
  <c r="F110" i="1"/>
  <c r="A117" i="1"/>
  <c r="D102" i="1"/>
  <c r="A104" i="1"/>
  <c r="A108" i="1"/>
  <c r="A135" i="1"/>
  <c r="F102" i="1"/>
  <c r="A105" i="1"/>
  <c r="A109" i="1"/>
  <c r="A134" i="1"/>
  <c r="A136" i="1"/>
  <c r="D134" i="1"/>
  <c r="A139" i="1"/>
  <c r="A110" i="1"/>
  <c r="A111" i="1"/>
  <c r="A115" i="1"/>
  <c r="F118" i="1"/>
  <c r="A121" i="1"/>
  <c r="A125" i="1"/>
  <c r="F134" i="1"/>
  <c r="A137" i="1"/>
  <c r="A141" i="1"/>
  <c r="D110" i="1"/>
  <c r="A112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<sst xmlns="http://schemas.openxmlformats.org/spreadsheetml/2006/main" count="542" uniqueCount="193">
  <si>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</si>
  <si>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</si>
  <si>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</si>
  <si>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</si>
  <si>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</si>
  <si>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</si>
  <si>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</si>
  <si>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</si>
  <si>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</si>
  <si>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</si>
  <si>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</si>
  <si>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</si>
  <si>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</si>
  <si>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</si>
  <si>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</si>
  <si>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</si>
  <si>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</si>
  <si>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</si>
  <si>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</si>
  <si>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</si>
  <si>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</si>
  <si>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</si>
  <si>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</si>
  <si>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</si>
  <si>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</si>
  <si>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</si>
  <si>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</si>
  <si>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</si>
  <si>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</si>
  <si>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</si>
  <si>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</si>
  <si>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</si>
  <si>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</si>
  <si>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</si>
  <si>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</si>
  <si>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</si>
  <si>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</si>
  <si>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</si>
  <si>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</si>
  <si>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</si>
  <si>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</si>
  <si>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</si>
  <si>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</si>
  <si>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</si>
  <si>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</si>
  <si>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</si>
  <si>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</si>
  <si>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</si>
  <si>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</si>
  <si>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</si>
  <si>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</si>
  <si>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</si>
  <si>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</si>
  <si>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</si>
  <si>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</si>
  <si>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</si>
  <si>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</si>
  <si>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</si>
  <si>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</si>
  <si>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</si>
  <si>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</si>
  <si>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</si>
  <si>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</si>
  <si>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</si>
  <si>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</si>
  <si>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</si>
  <si>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</si>
  <si>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</si>
  <si>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</si>
  <si>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</si>
  <si>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</si>
  <si>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</si>
  <si>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</si>
  <si>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</si>
  <si>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</si>
  <si>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</si>
  <si>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</si>
  <si>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</si>
  <si>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</si>
  <si>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</si>
  <si>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</si>
  <si>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</si>
  <si>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</si>
  <si>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</si>
  <si>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</si>
  <si>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</si>
  <si>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</si>
  <si>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</si>
  <si>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</si>
  <si>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</si>
  <si>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</si>
  <si>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</si>
  <si>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</si>
  <si>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</si>
  <si>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</si>
  <si>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</si>
  <si>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</si>
  <si>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</si>
  <si>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</si>
  <si>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</si>
  <si>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</si>
  <si>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</si>
  <si>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</si>
  <si>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</si>
  <si>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</si>
  <si>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</si>
  <si>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</si>
  <si>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</si>
  <si>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</si>
  <si>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</si>
  <si>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</si>
  <si>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</si>
  <si>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</si>
  <si>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</si>
  <si>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</si>
  <si>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</si>
  <si>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</si>
  <si>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</si>
  <si>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</si>
  <si>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</si>
  <si>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</si>
  <si>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</si>
  <si>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</si>
  <si>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</si>
  <si>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</si>
  <si>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</si>
  <si>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</si>
  <si>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</si>
  <si>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</si>
  <si>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</si>
  <si>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</si>
  <si>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</si>
  <si>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</si>
  <si>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</si>
  <si>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</si>
  <si>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</si>
  <si>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</si>
  <si>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</si>
  <si>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</si>
  <si>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</si>
  <si>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</si>
  <si>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</si>
  <si>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</si>
  <si>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</si>
  <si>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</si>
  <si>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</si>
  <si>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</si>
  <si>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</si>
  <si>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</si>
  <si>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</si>
  <si>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</si>
  <si>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</si>
  <si>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</si>
  <si>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</si>
  <si>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</si>
  <si>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</si>
  <si>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</si>
  <si>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</si>
  <si>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</si>
  <si>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</si>
  <si>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</si>
  <si>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</si>
  <si>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</si>
  <si>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</si>
  <si>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</si>
  <si>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</si>
  <si>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</si>
  <si>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</si>
  <si>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</si>
  <si>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</si>
  <si>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</si>
  <si>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111</t>
  </si>
  <si>
    <t>Работы (услуги) по управлению многоквартирным домом</t>
  </si>
  <si>
    <t>площадь дома</t>
  </si>
  <si>
    <t>Отчет об исполнении договора управления многоквартирного дома 
Березовый, 111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</si>
  <si>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</si>
  <si>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</si>
  <si>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2021 года (руб.):</t>
  </si>
  <si>
    <t>Начислено за  текущий ремонт в 2021 году (руб.):</t>
  </si>
  <si>
    <t>Ремонт теплообменника ГВС.</t>
  </si>
  <si>
    <t>разово</t>
  </si>
  <si>
    <t>АВР 1/21 от 20.07.2021, Решение, счет №192 от 12.04.2021</t>
  </si>
  <si>
    <t>Перерасход (+) или экономия 
(-) средств по состоянию на 31 августа 2021 года (руб.):</t>
  </si>
  <si>
    <t>Перерасчет платы по статье "текущий ремонт", на 1 м*2 составляет 4,27 рубля</t>
  </si>
  <si>
    <t>Коммунальные ресурсы на содержание общего имущества</t>
  </si>
  <si>
    <t>,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</si>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</sst>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</cellStyleXfs>
  <cellXfs count="174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>
      <alignment horizontal="center"/>
    </xf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8" fillId="0" borderId="0" xfId="5" applyNumberFormat="1" applyFill="1" applyBorder="1" applyAlignment="1"/>
    <xf numFmtId="0" fontId="8" fillId="0" borderId="0" xfId="5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0" fillId="0" borderId="0" xfId="0" applyFill="1"/>
    <xf numFmtId="0" fontId="16" fillId="0" borderId="0" xfId="0" applyFont="1" applyBorder="1" applyAlignment="1"/>
    <xf numFmtId="4" fontId="16" fillId="0" borderId="0" xfId="0" applyNumberFormat="1" applyFont="1" applyBorder="1" applyAlignment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4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15" fillId="3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horizontal="center"/>
    </xf>
    <xf numFmtId="4" fontId="25" fillId="3" borderId="0" xfId="13" applyNumberFormat="1" applyFont="1" applyFill="1" applyBorder="1" applyAlignment="1">
      <alignment horizontal="left" vertical="center" wrapText="1"/>
    </xf>
    <xf numFmtId="4" fontId="33" fillId="0" borderId="0" xfId="0" applyNumberFormat="1" applyFont="1"/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8"/>
    <cellStyle name="Обычный 2 5 2" xfId="13"/>
    <cellStyle name="Обычный 3" xfId="2"/>
    <cellStyle name="Обычный 3 2" xfId="7"/>
    <cellStyle name="Обычный 3 3" xfId="6"/>
    <cellStyle name="Обычный 3 4" xfId="12"/>
    <cellStyle name="Обычный 3 5" xfId="9"/>
    <cellStyle name="Обычный 4" xfId="4"/>
    <cellStyle name="Обычный 4 2" xfId="10"/>
    <cellStyle name="Обычный 5" xfId="5"/>
    <cellStyle name="Обычный 5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7" sqref="L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5" t="s">
        <v>171</v>
      </c>
      <c r="B2" s="165"/>
      <c r="C2" s="165"/>
      <c r="D2" s="165"/>
      <c r="E2" s="165"/>
      <c r="F2" s="165"/>
      <c r="G2" s="165"/>
      <c r="H2" s="165"/>
      <c r="I2" s="165"/>
      <c r="J2" s="165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44439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12"/>
      <c r="L8" s="166"/>
      <c r="M8" s="112"/>
      <c r="N8" s="112"/>
      <c r="O8" s="72" t="s">
        <v>78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12"/>
      <c r="L9" s="166"/>
      <c r="M9" s="112"/>
      <c r="N9" s="112"/>
      <c r="O9" s="72" t="s">
        <v>79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119904.84</v>
      </c>
      <c r="K10" s="112"/>
      <c r="L10" s="166"/>
      <c r="M10" s="112"/>
      <c r="N10" s="112"/>
      <c r="O10" s="72" t="s">
        <v>80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108416.61</v>
      </c>
      <c r="K11" s="112"/>
      <c r="L11" s="166"/>
      <c r="M11" s="112"/>
      <c r="N11" s="112"/>
      <c r="O11" s="72" t="s">
        <v>81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89590.65</v>
      </c>
      <c r="K12" s="112"/>
      <c r="L12" s="166"/>
      <c r="M12" s="112"/>
      <c r="N12" s="112"/>
      <c r="O12" s="72" t="s">
        <v>82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18825.960000000003</v>
      </c>
      <c r="K13" s="112"/>
      <c r="L13" s="166"/>
      <c r="M13" s="112"/>
      <c r="N13" s="112"/>
      <c r="O13" s="72" t="s">
        <v>83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0</v>
      </c>
      <c r="K14" s="112"/>
      <c r="L14" s="166"/>
      <c r="M14" s="112"/>
      <c r="N14" s="112"/>
      <c r="O14" s="72" t="s">
        <v>84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135236.35</v>
      </c>
      <c r="K15" s="112"/>
      <c r="L15" s="166"/>
      <c r="M15" s="112"/>
      <c r="N15" s="112"/>
      <c r="O15" s="72" t="s">
        <v>85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135236.35</v>
      </c>
      <c r="K16" s="112"/>
      <c r="L16" s="166"/>
      <c r="M16" s="112"/>
      <c r="N16" s="112"/>
      <c r="O16" s="72" t="s">
        <v>86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12"/>
      <c r="L17" s="166"/>
      <c r="M17" s="112"/>
      <c r="N17" s="112"/>
      <c r="O17" s="72" t="s">
        <v>87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12"/>
      <c r="L18" s="166"/>
      <c r="M18" s="112"/>
      <c r="N18" s="112"/>
      <c r="O18" s="72" t="s">
        <v>88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12"/>
      <c r="L19" s="166"/>
      <c r="M19" s="112"/>
      <c r="N19" s="112"/>
      <c r="O19" s="72" t="s">
        <v>89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12"/>
      <c r="L20" s="166"/>
      <c r="M20" s="112"/>
      <c r="N20" s="112"/>
      <c r="O20" s="72" t="s">
        <v>90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135236.35</v>
      </c>
      <c r="K21" s="112"/>
      <c r="L21" s="166"/>
      <c r="M21" s="112"/>
      <c r="N21" s="112"/>
      <c r="O21" s="72" t="s">
        <v>91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12"/>
      <c r="L22" s="166"/>
      <c r="M22" s="112"/>
      <c r="N22" s="112"/>
      <c r="O22" s="72" t="s">
        <v>92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12"/>
      <c r="L23" s="166"/>
      <c r="M23" s="112"/>
      <c r="N23" s="112"/>
      <c r="O23" s="72" t="s">
        <v>93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93085.1</v>
      </c>
      <c r="K24" s="112"/>
      <c r="L24" s="166"/>
      <c r="M24" s="112"/>
      <c r="N24" s="112"/>
      <c r="O24" s="72" t="s">
        <v>94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12"/>
      <c r="L27" s="167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4">
        <f>VLOOKUP(A28,ПТО!$A$39:$D$53,2,FALSE)</f>
        <v>9604</v>
      </c>
      <c r="G28" s="144"/>
      <c r="H28" s="6" t="str">
        <f>VLOOKUP(A28,ПТО!$A$39:$D$53,3,FALSE)</f>
        <v>Ежемесячно</v>
      </c>
      <c r="I28" s="145">
        <f>VLOOKUP(A28,ПТО!$A$39:$D$53,4,FALSE)</f>
        <v>8</v>
      </c>
      <c r="J28" s="145"/>
      <c r="K28" s="112"/>
      <c r="L28" s="167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Работы (услуги) по управлению многоквартирным домом</v>
      </c>
      <c r="B29" s="143"/>
      <c r="C29" s="143"/>
      <c r="D29" s="143"/>
      <c r="E29" s="143"/>
      <c r="F29" s="144">
        <f>VLOOKUP(A29,ПТО!$A$39:$D$53,2,FALSE)</f>
        <v>27284</v>
      </c>
      <c r="G29" s="144"/>
      <c r="H29" s="42" t="str">
        <f>VLOOKUP(A29,ПТО!$A$39:$D$53,3,FALSE)</f>
        <v>Ежемесячно</v>
      </c>
      <c r="I29" s="145">
        <f>VLOOKUP(A29,ПТО!$A$39:$D$53,4,FALSE)</f>
        <v>8</v>
      </c>
      <c r="J29" s="145"/>
      <c r="K29" s="112"/>
      <c r="L29" s="167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4">
        <f>VLOOKUP(A30,ПТО!$A$39:$D$53,2,FALSE)</f>
        <v>16097.6</v>
      </c>
      <c r="G30" s="144"/>
      <c r="H30" s="42" t="str">
        <f>VLOOKUP(A30,ПТО!$A$39:$D$53,3,FALSE)</f>
        <v>В соответствии с графиком</v>
      </c>
      <c r="I30" s="145">
        <f>VLOOKUP(A30,ПТО!$A$39:$D$53,4,FALSE)</f>
        <v>8</v>
      </c>
      <c r="J30" s="145"/>
      <c r="K30" s="112"/>
      <c r="L30" s="167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4">
        <f>VLOOKUP(A31,ПТО!$A$39:$D$53,2,FALSE)</f>
        <v>6548.16</v>
      </c>
      <c r="G31" s="144"/>
      <c r="H31" s="42" t="str">
        <f>VLOOKUP(A31,ПТО!$A$39:$D$53,3,FALSE)</f>
        <v>Ежемесячно</v>
      </c>
      <c r="I31" s="145">
        <f>VLOOKUP(A31,ПТО!$A$39:$D$53,4,FALSE)</f>
        <v>8</v>
      </c>
      <c r="J31" s="145"/>
      <c r="K31" s="112"/>
      <c r="L31" s="167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12"/>
      <c r="L32" s="167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4">
        <f>VLOOKUP(A33,ПТО!$A$39:$D$53,2,FALSE)</f>
        <v>2728.4</v>
      </c>
      <c r="G33" s="144"/>
      <c r="H33" s="42" t="str">
        <f>VLOOKUP(A33,ПТО!$A$39:$D$53,3,FALSE)</f>
        <v>Круглосуточно</v>
      </c>
      <c r="I33" s="145">
        <f>VLOOKUP(A33,ПТО!$A$39:$D$53,4,FALSE)</f>
        <v>8</v>
      </c>
      <c r="J33" s="145"/>
      <c r="K33" s="112"/>
      <c r="L33" s="167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4">
        <f>VLOOKUP(A34,ПТО!$A$39:$D$53,2,FALSE)</f>
        <v>11895.839999999998</v>
      </c>
      <c r="G34" s="144"/>
      <c r="H34" s="42" t="str">
        <f>VLOOKUP(A34,ПТО!$A$39:$D$53,3,FALSE)</f>
        <v>В соответствии с графиком</v>
      </c>
      <c r="I34" s="145">
        <f>VLOOKUP(A34,ПТО!$A$39:$D$53,4,FALSE)</f>
        <v>8</v>
      </c>
      <c r="J34" s="145"/>
      <c r="K34" s="112"/>
      <c r="L34" s="167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3" t="str">
        <f>ПТО!A46</f>
        <v>Коммунальные ресурсы на содержание общего имущества</v>
      </c>
      <c r="B35" s="143"/>
      <c r="C35" s="143"/>
      <c r="D35" s="143"/>
      <c r="E35" s="143"/>
      <c r="F35" s="144">
        <f>VLOOKUP(A35,ПТО!$A$39:$D$53,2,FALSE)</f>
        <v>11168.6085</v>
      </c>
      <c r="G35" s="144"/>
      <c r="H35" s="42" t="str">
        <f>VLOOKUP(A35,ПТО!$A$39:$D$53,3,FALSE)</f>
        <v>Ежемесячно</v>
      </c>
      <c r="I35" s="145">
        <f>VLOOKUP(A35,ПТО!$A$39:$D$53,4,FALSE)</f>
        <v>12</v>
      </c>
      <c r="J35" s="145"/>
      <c r="K35" s="112"/>
      <c r="L35" s="167"/>
      <c r="M35" s="119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12"/>
      <c r="L36" s="167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12"/>
      <c r="L37" s="167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12"/>
      <c r="L38" s="167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12"/>
      <c r="L39" s="167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12"/>
      <c r="L40" s="167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12"/>
      <c r="L41" s="167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12"/>
      <c r="L42" s="167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Ремонт теплообменника ГВС.</v>
      </c>
      <c r="B43" s="143"/>
      <c r="C43" s="143"/>
      <c r="D43" s="143"/>
      <c r="E43" s="143"/>
      <c r="F43" s="144">
        <f>VLOOKUP(A43,ПТО!$A$2:$D$31,4,FALSE)</f>
        <v>15680.61</v>
      </c>
      <c r="G43" s="144"/>
      <c r="H43" s="19" t="str">
        <f>VLOOKUP(A43,ПТО!$A$2:$D$31,2,FALSE)</f>
        <v>разово</v>
      </c>
      <c r="I43" s="145">
        <f>VLOOKUP(A43,ПТО!$A$2:$D$31,3,FALSE)</f>
        <v>1</v>
      </c>
      <c r="J43" s="145"/>
      <c r="K43" s="112"/>
      <c r="L43" s="167"/>
      <c r="M43" s="119"/>
      <c r="N43" s="112"/>
      <c r="O43" s="23" t="str">
        <f t="shared" si="1"/>
        <v>Ремонт теплообменника ГВС.</v>
      </c>
      <c r="R43" s="22" t="s">
        <v>72</v>
      </c>
    </row>
    <row r="44" spans="1:18" ht="51" hidden="1" customHeight="1" outlineLevel="1">
      <c r="A44" s="143">
        <f>ПТО!A3</f>
        <v>0</v>
      </c>
      <c r="B44" s="143"/>
      <c r="C44" s="143"/>
      <c r="D44" s="143"/>
      <c r="E44" s="143"/>
      <c r="F44" s="144" t="e">
        <f>VLOOKUP(A44,ПТО!$A$2:$D$31,4,FALSE)</f>
        <v>#N/A</v>
      </c>
      <c r="G44" s="144"/>
      <c r="H44" s="25" t="e">
        <f>VLOOKUP(A44,ПТО!$A$2:$D$31,2,FALSE)</f>
        <v>#N/A</v>
      </c>
      <c r="I44" s="145" t="e">
        <f>VLOOKUP(A44,ПТО!$A$2:$D$31,3,FALSE)</f>
        <v>#N/A</v>
      </c>
      <c r="J44" s="145"/>
      <c r="K44" s="112"/>
      <c r="L44" s="167"/>
      <c r="M44" s="119"/>
      <c r="N44" s="112"/>
      <c r="O44" s="23">
        <f t="shared" si="1"/>
        <v>0</v>
      </c>
      <c r="R44" s="22" t="s">
        <v>72</v>
      </c>
    </row>
    <row r="45" spans="1:18" ht="51" hidden="1" customHeight="1" outlineLevel="1">
      <c r="A45" s="143">
        <f>ПТО!A4</f>
        <v>0</v>
      </c>
      <c r="B45" s="143"/>
      <c r="C45" s="143"/>
      <c r="D45" s="143"/>
      <c r="E45" s="143"/>
      <c r="F45" s="144" t="e">
        <f>VLOOKUP(A45,ПТО!$A$2:$D$31,4,FALSE)</f>
        <v>#N/A</v>
      </c>
      <c r="G45" s="144"/>
      <c r="H45" s="25" t="e">
        <f>VLOOKUP(A45,ПТО!$A$2:$D$31,2,FALSE)</f>
        <v>#N/A</v>
      </c>
      <c r="I45" s="145" t="e">
        <f>VLOOKUP(A45,ПТО!$A$2:$D$31,3,FALSE)</f>
        <v>#N/A</v>
      </c>
      <c r="J45" s="145"/>
      <c r="K45" s="112"/>
      <c r="L45" s="167"/>
      <c r="M45" s="119"/>
      <c r="N45" s="112"/>
      <c r="O45" s="23">
        <f t="shared" si="1"/>
        <v>0</v>
      </c>
      <c r="R45" s="22" t="s">
        <v>72</v>
      </c>
    </row>
    <row r="46" spans="1:18" ht="51" hidden="1" customHeight="1" outlineLevel="1">
      <c r="A46" s="143">
        <f>ПТО!A5</f>
        <v>0</v>
      </c>
      <c r="B46" s="143"/>
      <c r="C46" s="143"/>
      <c r="D46" s="143"/>
      <c r="E46" s="143"/>
      <c r="F46" s="144" t="e">
        <f>VLOOKUP(A46,ПТО!$A$2:$D$31,4,FALSE)</f>
        <v>#N/A</v>
      </c>
      <c r="G46" s="144"/>
      <c r="H46" s="25" t="e">
        <f>VLOOKUP(A46,ПТО!$A$2:$D$31,2,FALSE)</f>
        <v>#N/A</v>
      </c>
      <c r="I46" s="145" t="e">
        <f>VLOOKUP(A46,ПТО!$A$2:$D$31,3,FALSE)</f>
        <v>#N/A</v>
      </c>
      <c r="J46" s="145"/>
      <c r="K46" s="112"/>
      <c r="L46" s="167"/>
      <c r="M46" s="119"/>
      <c r="N46" s="112"/>
      <c r="O46" s="23">
        <f t="shared" si="1"/>
        <v>0</v>
      </c>
      <c r="R46" s="22" t="s">
        <v>72</v>
      </c>
    </row>
    <row r="47" spans="1:18" ht="51" hidden="1" customHeight="1" outlineLevel="1">
      <c r="A47" s="143">
        <f>ПТО!A6</f>
        <v>0</v>
      </c>
      <c r="B47" s="143"/>
      <c r="C47" s="143"/>
      <c r="D47" s="143"/>
      <c r="E47" s="143"/>
      <c r="F47" s="144" t="e">
        <f>VLOOKUP(A47,ПТО!$A$2:$D$31,4,FALSE)</f>
        <v>#N/A</v>
      </c>
      <c r="G47" s="144"/>
      <c r="H47" s="25" t="e">
        <f>VLOOKUP(A47,ПТО!$A$2:$D$31,2,FALSE)</f>
        <v>#N/A</v>
      </c>
      <c r="I47" s="145" t="e">
        <f>VLOOKUP(A47,ПТО!$A$2:$D$31,3,FALSE)</f>
        <v>#N/A</v>
      </c>
      <c r="J47" s="145"/>
      <c r="K47" s="112"/>
      <c r="L47" s="167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3">
        <f>ПТО!A7</f>
        <v>0</v>
      </c>
      <c r="B48" s="143"/>
      <c r="C48" s="143"/>
      <c r="D48" s="143"/>
      <c r="E48" s="143"/>
      <c r="F48" s="144" t="e">
        <f>VLOOKUP(A48,ПТО!$A$2:$D$31,4,FALSE)</f>
        <v>#N/A</v>
      </c>
      <c r="G48" s="144"/>
      <c r="H48" s="25" t="e">
        <f>VLOOKUP(A48,ПТО!$A$2:$D$31,2,FALSE)</f>
        <v>#N/A</v>
      </c>
      <c r="I48" s="145" t="e">
        <f>VLOOKUP(A48,ПТО!$A$2:$D$31,3,FALSE)</f>
        <v>#N/A</v>
      </c>
      <c r="J48" s="145"/>
      <c r="K48" s="112"/>
      <c r="L48" s="167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4" t="e">
        <f>VLOOKUP(A49,ПТО!$A$2:$D$31,4,FALSE)</f>
        <v>#N/A</v>
      </c>
      <c r="G49" s="144"/>
      <c r="H49" s="25" t="e">
        <f>VLOOKUP(A49,ПТО!$A$2:$D$31,2,FALSE)</f>
        <v>#N/A</v>
      </c>
      <c r="I49" s="145" t="e">
        <f>VLOOKUP(A49,ПТО!$A$2:$D$31,3,FALSE)</f>
        <v>#N/A</v>
      </c>
      <c r="J49" s="145"/>
      <c r="K49" s="112"/>
      <c r="L49" s="167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4" t="e">
        <f>VLOOKUP(A50,ПТО!$A$2:$D$31,4,FALSE)</f>
        <v>#N/A</v>
      </c>
      <c r="G50" s="144"/>
      <c r="H50" s="25" t="e">
        <f>VLOOKUP(A50,ПТО!$A$2:$D$31,2,FALSE)</f>
        <v>#N/A</v>
      </c>
      <c r="I50" s="145" t="e">
        <f>VLOOKUP(A50,ПТО!$A$2:$D$31,3,FALSE)</f>
        <v>#N/A</v>
      </c>
      <c r="J50" s="145"/>
      <c r="K50" s="112"/>
      <c r="L50" s="167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5" t="e">
        <f>VLOOKUP(A51,ПТО!$A$2:$D$31,3,FALSE)</f>
        <v>#N/A</v>
      </c>
      <c r="J51" s="145"/>
      <c r="K51" s="112"/>
      <c r="L51" s="167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12"/>
      <c r="L52" s="167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12"/>
      <c r="L53" s="167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12"/>
      <c r="L54" s="167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12"/>
      <c r="L55" s="167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12"/>
      <c r="L56" s="167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12"/>
      <c r="L57" s="167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12"/>
      <c r="L58" s="167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12"/>
      <c r="L59" s="167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12"/>
      <c r="L60" s="167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12"/>
      <c r="L61" s="167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12"/>
      <c r="L62" s="167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12"/>
      <c r="L63" s="167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12"/>
      <c r="L64" s="167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12"/>
      <c r="L65" s="167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12"/>
      <c r="L66" s="167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12"/>
      <c r="L67" s="167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12"/>
      <c r="L68" s="167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12"/>
      <c r="L69" s="167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12"/>
      <c r="L70" s="167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9"/>
      <c r="L71" s="167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12"/>
      <c r="L72" s="167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170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2"/>
      <c r="L75" s="150"/>
      <c r="M75" s="112"/>
      <c r="N75" s="112"/>
      <c r="O75" s="72" t="s">
        <v>95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2"/>
      <c r="L76" s="150"/>
      <c r="M76" s="112"/>
      <c r="N76" s="112"/>
      <c r="O76" s="72" t="s">
        <v>96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2"/>
      <c r="L77" s="150"/>
      <c r="M77" s="112"/>
      <c r="N77" s="112"/>
      <c r="O77" s="72" t="s">
        <v>97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9">
        <f>VLOOKUP(O78,АО,3,FALSE)</f>
        <v>0</v>
      </c>
      <c r="K78" s="112"/>
      <c r="L78" s="150"/>
      <c r="M78" s="112"/>
      <c r="N78" s="112"/>
      <c r="O78" s="72" t="s">
        <v>98</v>
      </c>
    </row>
    <row r="79" spans="1:16384">
      <c r="A79" s="118" t="s">
        <v>170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9">
        <f t="shared" ref="J81:J90" si="2">VLOOKUP(O81,АО,3,FALSE)</f>
        <v>0</v>
      </c>
      <c r="K81" s="112"/>
      <c r="L81" s="168"/>
      <c r="M81" s="112"/>
      <c r="N81" s="112"/>
      <c r="O81" s="72" t="s">
        <v>99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9">
        <f t="shared" si="2"/>
        <v>0</v>
      </c>
      <c r="K82" s="112"/>
      <c r="L82" s="168"/>
      <c r="M82" s="112"/>
      <c r="N82" s="112"/>
      <c r="O82" s="72" t="s">
        <v>100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9">
        <f t="shared" si="2"/>
        <v>104583.92</v>
      </c>
      <c r="K83" s="112"/>
      <c r="L83" s="168"/>
      <c r="M83" s="112"/>
      <c r="N83" s="112"/>
      <c r="O83" s="72" t="s">
        <v>101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9">
        <f t="shared" si="2"/>
        <v>0</v>
      </c>
      <c r="K84" s="112"/>
      <c r="L84" s="168"/>
      <c r="M84" s="112"/>
      <c r="N84" s="112"/>
      <c r="O84" s="72" t="s">
        <v>102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9">
        <f t="shared" si="2"/>
        <v>0</v>
      </c>
      <c r="K85" s="112"/>
      <c r="L85" s="168"/>
      <c r="M85" s="112"/>
      <c r="N85" s="112"/>
      <c r="O85" s="72" t="s">
        <v>103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9">
        <f t="shared" si="2"/>
        <v>105846.69</v>
      </c>
      <c r="K86" s="112"/>
      <c r="L86" s="168"/>
      <c r="M86" s="112"/>
      <c r="N86" s="112"/>
      <c r="O86" s="72" t="s">
        <v>104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12"/>
      <c r="L87" s="168"/>
      <c r="M87" s="112"/>
      <c r="N87" s="112"/>
      <c r="O87" s="72" t="s">
        <v>105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12"/>
      <c r="L88" s="168"/>
      <c r="M88" s="112"/>
      <c r="N88" s="112"/>
      <c r="O88" s="72" t="s">
        <v>106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12"/>
      <c r="L89" s="168"/>
      <c r="M89" s="112"/>
      <c r="N89" s="112"/>
      <c r="O89" s="72" t="s">
        <v>107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9">
        <f t="shared" si="2"/>
        <v>0</v>
      </c>
      <c r="K90" s="112"/>
      <c r="L90" s="168"/>
      <c r="M90" s="112"/>
      <c r="N90" s="112"/>
      <c r="O90" s="72" t="s">
        <v>108</v>
      </c>
    </row>
    <row r="91" spans="1:15">
      <c r="A91" s="107" t="s">
        <v>170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2" t="s">
        <v>48</v>
      </c>
      <c r="B93" s="152"/>
      <c r="C93" s="152"/>
      <c r="D93" s="155" t="s">
        <v>49</v>
      </c>
      <c r="E93" s="155"/>
      <c r="F93" s="10" t="s">
        <v>50</v>
      </c>
      <c r="G93" s="152" t="s">
        <v>51</v>
      </c>
      <c r="H93" s="152"/>
      <c r="I93" s="152"/>
      <c r="J93" s="152"/>
      <c r="K93" s="112"/>
      <c r="L93" s="112"/>
      <c r="M93" s="112"/>
      <c r="N93" s="112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4" t="str">
        <f>IF(VLOOKUP("эл",АО,3,FALSE)&gt;0,VLOOKUP("эл",АО,3,FALSE),0)</f>
        <v>Предоставляется</v>
      </c>
      <c r="E94" s="154"/>
      <c r="F94" s="13" t="str">
        <f>IF(VLOOKUP("эл",АО,3,FALSE)&gt;0,VLOOKUP("эл",АО,4,FALSE),0)</f>
        <v>кВт*ч</v>
      </c>
      <c r="G94" s="153">
        <f>VLOOKUP("эл",АО,5,FALSE)</f>
        <v>6606.5</v>
      </c>
      <c r="H94" s="154"/>
      <c r="I94" s="154"/>
      <c r="J94" s="154"/>
      <c r="K94" s="1" t="str">
        <f>VLOOKUP("эл",АО,2,FALSE)</f>
        <v>Электроснабжение</v>
      </c>
      <c r="L94" s="169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5505.42</v>
      </c>
      <c r="L95" s="169"/>
      <c r="O95" s="1" t="s">
        <v>109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10383.26</v>
      </c>
      <c r="L96" s="169"/>
      <c r="O96" s="1" t="s">
        <v>110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0</v>
      </c>
      <c r="L97" s="169"/>
      <c r="O97" s="1" t="s">
        <v>111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6606.5</v>
      </c>
      <c r="L98" s="169"/>
      <c r="O98" s="1" t="s">
        <v>112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6606.5</v>
      </c>
      <c r="L99" s="169"/>
      <c r="O99" s="1" t="s">
        <v>113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69"/>
      <c r="O100" s="1" t="s">
        <v>114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69"/>
      <c r="O101" s="1" t="s">
        <v>115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4" t="str">
        <f>IF(VLOOKUP("хвс",АО,3,FALSE)&gt;0,VLOOKUP("хвс",АО,3,FALSE),0)</f>
        <v>Предоставляется</v>
      </c>
      <c r="E102" s="154"/>
      <c r="F102" s="13" t="str">
        <f>IF(VLOOKUP("хвс",АО,3,FALSE)&gt;0,VLOOKUP("хвс",АО,4,FALSE),0)</f>
        <v>куб.м.</v>
      </c>
      <c r="G102" s="153">
        <f>VLOOKUP("хвс",АО,5,FALSE)</f>
        <v>8358.3799999999992</v>
      </c>
      <c r="H102" s="154"/>
      <c r="I102" s="154"/>
      <c r="J102" s="154"/>
      <c r="L102" s="169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633.21</v>
      </c>
      <c r="L103" s="169"/>
      <c r="O103" s="1" t="s">
        <v>118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6187.95</v>
      </c>
      <c r="L104" s="169"/>
      <c r="O104" s="1" t="s">
        <v>119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2170.4299999999994</v>
      </c>
      <c r="L105" s="169"/>
      <c r="O105" s="1" t="s">
        <v>120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8358.3799999999992</v>
      </c>
      <c r="L106" s="169"/>
      <c r="O106" s="1" t="s">
        <v>121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8358.3799999999992</v>
      </c>
      <c r="L107" s="169"/>
      <c r="O107" s="1" t="s">
        <v>122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69"/>
      <c r="O108" s="1" t="s">
        <v>123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69"/>
      <c r="O109" s="1" t="s">
        <v>124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4" t="str">
        <f>IF(VLOOKUP("воо",АО,3,FALSE)&gt;0,VLOOKUP("воо",АО,3,FALSE),0)</f>
        <v>Предоставляется</v>
      </c>
      <c r="E110" s="154"/>
      <c r="F110" s="13" t="str">
        <f>IF(VLOOKUP("воо",АО,3,FALSE)&gt;0,VLOOKUP("воо",АО,4,FALSE),0)</f>
        <v>куб.м.</v>
      </c>
      <c r="G110" s="153">
        <f>VLOOKUP("воо",АО,5,FALSE)</f>
        <v>18370.96</v>
      </c>
      <c r="H110" s="154"/>
      <c r="I110" s="154"/>
      <c r="J110" s="154"/>
      <c r="L110" s="169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1145.32</v>
      </c>
      <c r="L111" s="169"/>
      <c r="O111" s="1" t="s">
        <v>126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16454.63</v>
      </c>
      <c r="L112" s="169"/>
      <c r="O112" s="1" t="s">
        <v>127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1916.3299999999981</v>
      </c>
      <c r="L113" s="169"/>
      <c r="O113" s="1" t="s">
        <v>128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18370.96</v>
      </c>
      <c r="L114" s="169"/>
      <c r="O114" s="1" t="s">
        <v>129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18370.96</v>
      </c>
      <c r="L115" s="169"/>
      <c r="O115" s="1" t="s">
        <v>130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9"/>
      <c r="O116" s="1" t="s">
        <v>131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9"/>
      <c r="O117" s="1" t="s">
        <v>132</v>
      </c>
    </row>
    <row r="118" spans="1:15" ht="32.25" hidden="1" customHeight="1" outlineLevel="1">
      <c r="A118" s="156">
        <f>IF(VLOOKUP("тко",АО,3,FALSE)&gt;0,"Обращение с ТКО",0)</f>
        <v>0</v>
      </c>
      <c r="B118" s="156"/>
      <c r="C118" s="156"/>
      <c r="D118" s="154">
        <f>IF(VLOOKUP("тко",АО,3,FALSE)&gt;0,VLOOKUP("тко",АО,3,FALSE),0)</f>
        <v>0</v>
      </c>
      <c r="E118" s="154"/>
      <c r="F118" s="13">
        <f>IF(VLOOKUP("тко",АО,3,FALSE)&gt;0,VLOOKUP("тко",АО,4,FALSE),0)</f>
        <v>0</v>
      </c>
      <c r="G118" s="153">
        <f>VLOOKUP("тко",АО,5,FALSE)</f>
        <v>0</v>
      </c>
      <c r="H118" s="154"/>
      <c r="I118" s="154"/>
      <c r="J118" s="154"/>
      <c r="L118" s="49"/>
    </row>
    <row r="119" spans="1:15" ht="32.25" hidden="1" customHeight="1" outlineLevel="2">
      <c r="A119" s="151">
        <f t="shared" ref="A119:A125" si="8">IF(VLOOKUP("тко",АО,3,FALSE)&gt;0,VLOOKUP(O119,АО,2,FALSE),0)</f>
        <v>0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0</v>
      </c>
      <c r="L119" s="49"/>
      <c r="O119" s="1" t="s">
        <v>134</v>
      </c>
    </row>
    <row r="120" spans="1:15" ht="32.25" hidden="1" customHeight="1" outlineLevel="2">
      <c r="A120" s="151">
        <f t="shared" si="8"/>
        <v>0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0</v>
      </c>
      <c r="L120" s="49"/>
      <c r="O120" s="1" t="s">
        <v>135</v>
      </c>
    </row>
    <row r="121" spans="1:15" ht="32.25" hidden="1" customHeight="1" outlineLevel="2">
      <c r="A121" s="151">
        <f t="shared" si="8"/>
        <v>0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0</v>
      </c>
      <c r="L121" s="49"/>
      <c r="O121" s="1" t="s">
        <v>136</v>
      </c>
    </row>
    <row r="122" spans="1:15" ht="32.25" hidden="1" customHeight="1" outlineLevel="2">
      <c r="A122" s="151">
        <f t="shared" si="8"/>
        <v>0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0</v>
      </c>
      <c r="L122" s="49"/>
      <c r="O122" s="1" t="s">
        <v>137</v>
      </c>
    </row>
    <row r="123" spans="1:15" ht="32.25" hidden="1" customHeight="1" outlineLevel="2">
      <c r="A123" s="151">
        <f t="shared" si="8"/>
        <v>0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0</v>
      </c>
      <c r="L123" s="49"/>
      <c r="O123" s="1" t="s">
        <v>138</v>
      </c>
    </row>
    <row r="124" spans="1:15" ht="32.25" hidden="1" customHeight="1" outlineLevel="2">
      <c r="A124" s="151">
        <f t="shared" si="8"/>
        <v>0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9"/>
      <c r="O124" s="1" t="s">
        <v>139</v>
      </c>
    </row>
    <row r="125" spans="1:15" ht="32.25" hidden="1" customHeight="1" outlineLevel="2">
      <c r="A125" s="151">
        <f t="shared" si="8"/>
        <v>0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9"/>
      <c r="O125" s="1" t="s">
        <v>140</v>
      </c>
    </row>
    <row r="126" spans="1:15" ht="32.25" hidden="1" customHeight="1" outlineLevel="1">
      <c r="A126" s="156" t="str">
        <f>IF(VLOOKUP("гвс",АО,3,FALSE)&gt;0,"Горячее водоснабжение",0)</f>
        <v>Горячее водоснабжение</v>
      </c>
      <c r="B126" s="156"/>
      <c r="C126" s="156"/>
      <c r="D126" s="154" t="str">
        <f>IF(VLOOKUP("гвс",АО,3,FALSE)&gt;0,VLOOKUP("гвс",АО,3,FALSE),0)</f>
        <v>Предоставляется</v>
      </c>
      <c r="E126" s="154"/>
      <c r="F126" s="13" t="str">
        <f>IF(VLOOKUP("гвс",АО,3,FALSE)&gt;0,VLOOKUP("гвс",АО,4,FALSE),0)</f>
        <v>куб.м.</v>
      </c>
      <c r="G126" s="153">
        <f>VLOOKUP("гвс",АО,5,FALSE)</f>
        <v>5832.75</v>
      </c>
      <c r="H126" s="154"/>
      <c r="I126" s="154"/>
      <c r="J126" s="154"/>
      <c r="L126" s="49"/>
    </row>
    <row r="127" spans="1:15" ht="32.25" hidden="1" customHeight="1" outlineLevel="2">
      <c r="A127" s="151" t="str">
        <f t="shared" ref="A127:A133" si="10">IF(VLOOKUP("гвс",АО,3,FALSE)&gt;0,VLOOKUP(O127,АО,2,FALSE),0)</f>
        <v>Общий объем потребления, нат. показ.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369.7</v>
      </c>
      <c r="L127" s="49"/>
      <c r="O127" s="1" t="s">
        <v>142</v>
      </c>
    </row>
    <row r="128" spans="1:15" ht="32.25" hidden="1" customHeight="1" outlineLevel="2">
      <c r="A128" s="151" t="str">
        <f t="shared" si="10"/>
        <v>Оплачено потребителями, руб.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4879.9799999999996</v>
      </c>
      <c r="L128" s="49"/>
      <c r="O128" s="1" t="s">
        <v>143</v>
      </c>
    </row>
    <row r="129" spans="1:15" ht="32.25" hidden="1" customHeight="1" outlineLevel="2">
      <c r="A129" s="151" t="str">
        <f t="shared" si="10"/>
        <v>Задолженность потребителей, руб.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952.77000000000044</v>
      </c>
      <c r="L129" s="49"/>
      <c r="O129" s="1" t="s">
        <v>144</v>
      </c>
    </row>
    <row r="130" spans="1:15" ht="32.25" hidden="1" customHeight="1" outlineLevel="2">
      <c r="A130" s="151" t="str">
        <f t="shared" si="10"/>
        <v>Начислено поставщиком (поставщиками) коммунального ресурса, руб.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5832.75</v>
      </c>
      <c r="L130" s="49"/>
      <c r="O130" s="1" t="s">
        <v>145</v>
      </c>
    </row>
    <row r="131" spans="1:15" ht="32.25" hidden="1" customHeight="1" outlineLevel="2">
      <c r="A131" s="151" t="str">
        <f t="shared" si="10"/>
        <v>Оплачено поставщику (поставщикам) коммунального ресурса, руб.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5832.75</v>
      </c>
      <c r="L131" s="49"/>
      <c r="O131" s="1" t="s">
        <v>146</v>
      </c>
    </row>
    <row r="132" spans="1:15" ht="32.25" hidden="1" customHeight="1" outlineLevel="2">
      <c r="A132" s="151" t="str">
        <f t="shared" si="10"/>
        <v>Задолженность перед поставщиком (поставщиками) коммунального ресурса, руб.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9"/>
      <c r="O132" s="1" t="s">
        <v>147</v>
      </c>
    </row>
    <row r="133" spans="1:15" ht="32.25" hidden="1" customHeight="1" outlineLevel="2">
      <c r="A133" s="151" t="str">
        <f t="shared" si="10"/>
        <v>Размер пени и штрафов, уплаченных поставщику (поставщикам) коммунального ресурса, руб.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9"/>
      <c r="O133" s="1" t="s">
        <v>148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4"/>
      <c r="I134" s="154"/>
      <c r="J134" s="154"/>
      <c r="L134" s="49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9"/>
      <c r="O135" s="1" t="s">
        <v>150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9"/>
      <c r="O136" s="1" t="s">
        <v>151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9"/>
      <c r="O137" s="1" t="s">
        <v>152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9"/>
      <c r="O138" s="1" t="s">
        <v>153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9"/>
      <c r="O139" s="1" t="s">
        <v>154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9"/>
      <c r="O140" s="1" t="s">
        <v>155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9"/>
      <c r="O141" s="1" t="s">
        <v>156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0</v>
      </c>
      <c r="O144" t="s">
        <v>166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0</v>
      </c>
      <c r="L145" s="15"/>
      <c r="O145" t="s">
        <v>167</v>
      </c>
    </row>
    <row r="146" spans="1:15" ht="30" customHeight="1" outlineLevel="1">
      <c r="A146" s="151" t="s">
        <v>169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0</v>
      </c>
      <c r="O146" t="s">
        <v>168</v>
      </c>
    </row>
    <row r="149" spans="1:15" ht="52.5" customHeight="1">
      <c r="A149" s="147" t="s">
        <v>174</v>
      </c>
      <c r="B149" s="147"/>
      <c r="C149" s="147"/>
      <c r="D149" s="147"/>
      <c r="E149" s="147"/>
      <c r="F149" s="147"/>
      <c r="G149" s="147"/>
      <c r="H149" s="147"/>
      <c r="I149" s="147"/>
      <c r="J149" s="14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44439</v>
      </c>
    </row>
    <row r="154" spans="1:15" ht="39.75" customHeight="1">
      <c r="A154" s="146" t="s">
        <v>175</v>
      </c>
      <c r="B154" s="146"/>
      <c r="C154" s="146"/>
      <c r="D154" s="146"/>
      <c r="E154" s="27">
        <f>ПТО!G1</f>
        <v>231.72</v>
      </c>
    </row>
    <row r="155" spans="1:15" ht="34.5" customHeight="1">
      <c r="A155" s="148" t="s">
        <v>178</v>
      </c>
      <c r="B155" s="148"/>
      <c r="C155" s="148"/>
      <c r="D155" s="148"/>
      <c r="E155" s="28">
        <f>J13</f>
        <v>18825.960000000003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3" t="str">
        <f t="shared" ref="A158:A163" si="14">IF(N158&gt;0,N158,0)</f>
        <v>Ремонт теплообменника ГВС.</v>
      </c>
      <c r="B158" s="143"/>
      <c r="C158" s="143"/>
      <c r="D158" s="143"/>
      <c r="E158" s="143"/>
      <c r="F158" s="144">
        <f t="shared" ref="F158:F163" si="15">IF(ISERROR(VLOOKUP(A158,$A$28:$J$72,6,FALSE)),0,VLOOKUP(A158,$A$28:$J$72,6,FALSE))</f>
        <v>15680.61</v>
      </c>
      <c r="G158" s="144"/>
      <c r="H158" s="24" t="str">
        <f t="shared" ref="H158:H187" si="16">VLOOKUP(A158,$A$28:$J$72,8,FALSE)</f>
        <v>разово</v>
      </c>
      <c r="I158" s="145">
        <f t="shared" ref="I158:I161" si="17">VLOOKUP(A158,$A$28:$J$72,9,FALSE)</f>
        <v>1</v>
      </c>
      <c r="J158" s="145"/>
      <c r="M158" s="22" t="s">
        <v>72</v>
      </c>
      <c r="N158" s="1" t="str">
        <f t="array" ref="N158:N187">INDEX($O$43:$O$72,SMALL(IF($M$158=R43:R72,ROW(O43:O72)-42,""),ROW()-157))</f>
        <v>Ремонт теплообменника ГВС.</v>
      </c>
    </row>
    <row r="159" spans="1:15" ht="28.5" hidden="1" customHeight="1">
      <c r="A159" s="143">
        <f t="shared" si="14"/>
        <v>0</v>
      </c>
      <c r="B159" s="143"/>
      <c r="C159" s="143"/>
      <c r="D159" s="143"/>
      <c r="E159" s="143"/>
      <c r="F159" s="144">
        <f t="shared" si="15"/>
        <v>0</v>
      </c>
      <c r="G159" s="144"/>
      <c r="H159" s="24" t="e">
        <f t="shared" si="16"/>
        <v>#N/A</v>
      </c>
      <c r="I159" s="145" t="e">
        <f t="shared" si="17"/>
        <v>#N/A</v>
      </c>
      <c r="J159" s="145"/>
      <c r="M159" s="22" t="s">
        <v>72</v>
      </c>
      <c r="N159" s="1">
        <v>0</v>
      </c>
    </row>
    <row r="160" spans="1:15" ht="28.5" hidden="1" customHeight="1">
      <c r="A160" s="143">
        <f t="shared" si="14"/>
        <v>0</v>
      </c>
      <c r="B160" s="143"/>
      <c r="C160" s="143"/>
      <c r="D160" s="143"/>
      <c r="E160" s="143"/>
      <c r="F160" s="144">
        <f t="shared" si="15"/>
        <v>0</v>
      </c>
      <c r="G160" s="144"/>
      <c r="H160" s="24" t="e">
        <f t="shared" si="16"/>
        <v>#N/A</v>
      </c>
      <c r="I160" s="145" t="e">
        <f t="shared" si="17"/>
        <v>#N/A</v>
      </c>
      <c r="J160" s="145"/>
      <c r="M160" s="22" t="s">
        <v>72</v>
      </c>
      <c r="N160" s="1">
        <v>0</v>
      </c>
    </row>
    <row r="161" spans="1:14" ht="28.5" hidden="1" customHeight="1">
      <c r="A161" s="143">
        <f>IF(N161&gt;0,N161,0)</f>
        <v>0</v>
      </c>
      <c r="B161" s="143"/>
      <c r="C161" s="143"/>
      <c r="D161" s="143"/>
      <c r="E161" s="143"/>
      <c r="F161" s="144">
        <f t="shared" si="15"/>
        <v>0</v>
      </c>
      <c r="G161" s="144"/>
      <c r="H161" s="24" t="e">
        <f t="shared" si="16"/>
        <v>#N/A</v>
      </c>
      <c r="I161" s="145" t="e">
        <f t="shared" si="17"/>
        <v>#N/A</v>
      </c>
      <c r="J161" s="145"/>
      <c r="M161" s="22" t="s">
        <v>72</v>
      </c>
      <c r="N161" s="1">
        <v>0</v>
      </c>
    </row>
    <row r="162" spans="1:14" ht="28.5" hidden="1" customHeight="1">
      <c r="A162" s="143">
        <f t="shared" si="14"/>
        <v>0</v>
      </c>
      <c r="B162" s="143"/>
      <c r="C162" s="143"/>
      <c r="D162" s="143"/>
      <c r="E162" s="143"/>
      <c r="F162" s="144">
        <f t="shared" si="15"/>
        <v>0</v>
      </c>
      <c r="G162" s="144"/>
      <c r="H162" s="24" t="e">
        <f t="shared" si="16"/>
        <v>#N/A</v>
      </c>
      <c r="I162" s="145" t="e">
        <f>VLOOKUP(A162,$A$28:$J$72,9,FALSE)</f>
        <v>#N/A</v>
      </c>
      <c r="J162" s="145"/>
      <c r="M162" s="22" t="s">
        <v>72</v>
      </c>
      <c r="N162" s="1">
        <v>0</v>
      </c>
    </row>
    <row r="163" spans="1:14" ht="28.5" hidden="1" customHeight="1">
      <c r="A163" s="143">
        <f t="shared" si="14"/>
        <v>0</v>
      </c>
      <c r="B163" s="143"/>
      <c r="C163" s="143"/>
      <c r="D163" s="143"/>
      <c r="E163" s="143"/>
      <c r="F163" s="144">
        <f t="shared" si="15"/>
        <v>0</v>
      </c>
      <c r="G163" s="144"/>
      <c r="H163" s="24" t="e">
        <f t="shared" si="16"/>
        <v>#N/A</v>
      </c>
      <c r="I163" s="145" t="e">
        <f>VLOOKUP(A163,$A$28:$J$72,9,FALSE)</f>
        <v>#N/A</v>
      </c>
      <c r="J163" s="145"/>
      <c r="M163" s="22" t="s">
        <v>72</v>
      </c>
      <c r="N163" s="1">
        <v>0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4">
        <f t="shared" ref="F164:F187" si="19">IF(ISERROR(VLOOKUP(A164,$A$28:$J$72,6,FALSE)),0,VLOOKUP(A164,$A$28:$J$72,6,FALSE))</f>
        <v>0</v>
      </c>
      <c r="G164" s="144"/>
      <c r="H164" s="29" t="e">
        <f t="shared" si="16"/>
        <v>#N/A</v>
      </c>
      <c r="I164" s="145" t="e">
        <f t="shared" ref="I164:I187" si="20">VLOOKUP(A164,$A$28:$J$72,9,FALSE)</f>
        <v>#N/A</v>
      </c>
      <c r="J164" s="145"/>
      <c r="M164" s="22" t="s">
        <v>72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4">
        <f t="shared" si="19"/>
        <v>0</v>
      </c>
      <c r="G165" s="144"/>
      <c r="H165" s="29" t="e">
        <f t="shared" si="16"/>
        <v>#N/A</v>
      </c>
      <c r="I165" s="145" t="e">
        <f t="shared" si="20"/>
        <v>#N/A</v>
      </c>
      <c r="J165" s="145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4">
        <f t="shared" si="19"/>
        <v>0</v>
      </c>
      <c r="G166" s="144"/>
      <c r="H166" s="29" t="e">
        <f t="shared" si="16"/>
        <v>#N/A</v>
      </c>
      <c r="I166" s="145" t="e">
        <f t="shared" si="20"/>
        <v>#N/A</v>
      </c>
      <c r="J166" s="145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4">
        <f t="shared" si="19"/>
        <v>0</v>
      </c>
      <c r="G167" s="144"/>
      <c r="H167" s="29" t="e">
        <f t="shared" si="16"/>
        <v>#N/A</v>
      </c>
      <c r="I167" s="145" t="e">
        <f t="shared" si="20"/>
        <v>#N/A</v>
      </c>
      <c r="J167" s="145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4">
        <f t="shared" si="19"/>
        <v>0</v>
      </c>
      <c r="G168" s="144"/>
      <c r="H168" s="29" t="e">
        <f t="shared" si="16"/>
        <v>#N/A</v>
      </c>
      <c r="I168" s="145" t="e">
        <f t="shared" si="20"/>
        <v>#N/A</v>
      </c>
      <c r="J168" s="145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4">
        <f t="shared" si="19"/>
        <v>0</v>
      </c>
      <c r="G169" s="144"/>
      <c r="H169" s="29" t="e">
        <f t="shared" si="16"/>
        <v>#N/A</v>
      </c>
      <c r="I169" s="145" t="e">
        <f t="shared" si="20"/>
        <v>#N/A</v>
      </c>
      <c r="J169" s="145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4">
        <f t="shared" si="19"/>
        <v>0</v>
      </c>
      <c r="G170" s="144"/>
      <c r="H170" s="29" t="e">
        <f t="shared" si="16"/>
        <v>#N/A</v>
      </c>
      <c r="I170" s="145" t="e">
        <f t="shared" si="20"/>
        <v>#N/A</v>
      </c>
      <c r="J170" s="145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4">
        <f t="shared" si="19"/>
        <v>0</v>
      </c>
      <c r="G171" s="144"/>
      <c r="H171" s="29" t="e">
        <f t="shared" si="16"/>
        <v>#N/A</v>
      </c>
      <c r="I171" s="145" t="e">
        <f t="shared" si="20"/>
        <v>#N/A</v>
      </c>
      <c r="J171" s="145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4">
        <f t="shared" si="19"/>
        <v>0</v>
      </c>
      <c r="G172" s="144"/>
      <c r="H172" s="29" t="e">
        <f t="shared" si="16"/>
        <v>#N/A</v>
      </c>
      <c r="I172" s="145" t="e">
        <f t="shared" si="20"/>
        <v>#N/A</v>
      </c>
      <c r="J172" s="145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4">
        <f t="shared" si="19"/>
        <v>0</v>
      </c>
      <c r="G173" s="144"/>
      <c r="H173" s="29" t="e">
        <f t="shared" si="16"/>
        <v>#N/A</v>
      </c>
      <c r="I173" s="145" t="e">
        <f t="shared" si="20"/>
        <v>#N/A</v>
      </c>
      <c r="J173" s="145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4">
        <f t="shared" si="19"/>
        <v>0</v>
      </c>
      <c r="G174" s="144"/>
      <c r="H174" s="29" t="e">
        <f t="shared" si="16"/>
        <v>#N/A</v>
      </c>
      <c r="I174" s="145" t="e">
        <f t="shared" si="20"/>
        <v>#N/A</v>
      </c>
      <c r="J174" s="145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4">
        <f t="shared" si="19"/>
        <v>0</v>
      </c>
      <c r="G175" s="144"/>
      <c r="H175" s="29" t="e">
        <f t="shared" si="16"/>
        <v>#N/A</v>
      </c>
      <c r="I175" s="145" t="e">
        <f t="shared" si="20"/>
        <v>#N/A</v>
      </c>
      <c r="J175" s="145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4">
        <f t="shared" si="19"/>
        <v>0</v>
      </c>
      <c r="G176" s="144"/>
      <c r="H176" s="29" t="e">
        <f t="shared" si="16"/>
        <v>#N/A</v>
      </c>
      <c r="I176" s="145" t="e">
        <f t="shared" si="20"/>
        <v>#N/A</v>
      </c>
      <c r="J176" s="145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4">
        <f t="shared" si="19"/>
        <v>0</v>
      </c>
      <c r="G177" s="144"/>
      <c r="H177" s="29" t="e">
        <f t="shared" si="16"/>
        <v>#N/A</v>
      </c>
      <c r="I177" s="145" t="e">
        <f t="shared" si="20"/>
        <v>#N/A</v>
      </c>
      <c r="J177" s="145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4">
        <f t="shared" si="19"/>
        <v>0</v>
      </c>
      <c r="G178" s="144"/>
      <c r="H178" s="29" t="e">
        <f t="shared" si="16"/>
        <v>#N/A</v>
      </c>
      <c r="I178" s="145" t="e">
        <f t="shared" si="20"/>
        <v>#N/A</v>
      </c>
      <c r="J178" s="145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4">
        <f t="shared" si="19"/>
        <v>0</v>
      </c>
      <c r="G179" s="144"/>
      <c r="H179" s="29" t="e">
        <f t="shared" si="16"/>
        <v>#N/A</v>
      </c>
      <c r="I179" s="145" t="e">
        <f t="shared" si="20"/>
        <v>#N/A</v>
      </c>
      <c r="J179" s="145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4">
        <f t="shared" si="19"/>
        <v>0</v>
      </c>
      <c r="G180" s="144"/>
      <c r="H180" s="29" t="e">
        <f t="shared" si="16"/>
        <v>#N/A</v>
      </c>
      <c r="I180" s="145" t="e">
        <f t="shared" si="20"/>
        <v>#N/A</v>
      </c>
      <c r="J180" s="145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4">
        <f t="shared" si="19"/>
        <v>0</v>
      </c>
      <c r="G181" s="144"/>
      <c r="H181" s="29" t="e">
        <f t="shared" si="16"/>
        <v>#N/A</v>
      </c>
      <c r="I181" s="145" t="e">
        <f t="shared" si="20"/>
        <v>#N/A</v>
      </c>
      <c r="J181" s="145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4">
        <f t="shared" si="19"/>
        <v>0</v>
      </c>
      <c r="G182" s="144"/>
      <c r="H182" s="29" t="e">
        <f t="shared" si="16"/>
        <v>#N/A</v>
      </c>
      <c r="I182" s="145" t="e">
        <f t="shared" si="20"/>
        <v>#N/A</v>
      </c>
      <c r="J182" s="145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4">
        <f t="shared" si="19"/>
        <v>0</v>
      </c>
      <c r="G183" s="144"/>
      <c r="H183" s="29" t="e">
        <f t="shared" si="16"/>
        <v>#N/A</v>
      </c>
      <c r="I183" s="145" t="e">
        <f t="shared" si="20"/>
        <v>#N/A</v>
      </c>
      <c r="J183" s="145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4">
        <f t="shared" si="19"/>
        <v>0</v>
      </c>
      <c r="G184" s="144"/>
      <c r="H184" s="29" t="e">
        <f t="shared" si="16"/>
        <v>#N/A</v>
      </c>
      <c r="I184" s="145" t="e">
        <f t="shared" si="20"/>
        <v>#N/A</v>
      </c>
      <c r="J184" s="145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4">
        <f t="shared" si="19"/>
        <v>0</v>
      </c>
      <c r="G185" s="144"/>
      <c r="H185" s="29" t="e">
        <f t="shared" si="16"/>
        <v>#N/A</v>
      </c>
      <c r="I185" s="145" t="e">
        <f t="shared" si="20"/>
        <v>#N/A</v>
      </c>
      <c r="J185" s="145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4">
        <f t="shared" si="19"/>
        <v>0</v>
      </c>
      <c r="G186" s="144"/>
      <c r="H186" s="29" t="e">
        <f t="shared" si="16"/>
        <v>#N/A</v>
      </c>
      <c r="I186" s="145" t="e">
        <f t="shared" si="20"/>
        <v>#N/A</v>
      </c>
      <c r="J186" s="145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4">
        <f t="shared" si="19"/>
        <v>0</v>
      </c>
      <c r="G187" s="144"/>
      <c r="H187" s="29" t="e">
        <f t="shared" si="16"/>
        <v>#N/A</v>
      </c>
      <c r="I187" s="145" t="e">
        <f t="shared" si="20"/>
        <v>#N/A</v>
      </c>
      <c r="J187" s="145"/>
      <c r="M187" s="22" t="s">
        <v>72</v>
      </c>
      <c r="N187" s="1">
        <v>0</v>
      </c>
    </row>
    <row r="188" spans="1:14" ht="29.25" customHeight="1">
      <c r="A188" s="107" t="s">
        <v>170</v>
      </c>
    </row>
    <row r="189" spans="1:14" ht="29.25" customHeight="1">
      <c r="A189" s="107" t="s">
        <v>170</v>
      </c>
    </row>
    <row r="190" spans="1:14" ht="36.75" customHeight="1">
      <c r="A190" s="146" t="s">
        <v>177</v>
      </c>
      <c r="B190" s="146"/>
      <c r="C190" s="146"/>
      <c r="D190" s="146"/>
      <c r="E190" s="27">
        <f>SUM(F158:G187)</f>
        <v>15680.61</v>
      </c>
    </row>
    <row r="191" spans="1:14" ht="51.75" customHeight="1">
      <c r="A191" s="146" t="s">
        <v>182</v>
      </c>
      <c r="B191" s="146"/>
      <c r="C191" s="146"/>
      <c r="D191" s="146"/>
      <c r="E191" s="27">
        <f>E190+E154-E155</f>
        <v>-2913.6300000000028</v>
      </c>
    </row>
    <row r="192" spans="1:14">
      <c r="A192" s="107" t="s">
        <v>170</v>
      </c>
    </row>
    <row r="193" spans="1:10" ht="62.25" customHeight="1">
      <c r="A193" s="141" t="s">
        <v>183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 hidden="1">
      <c r="A194" s="170">
        <f>ПТО!F12</f>
        <v>0</v>
      </c>
      <c r="B194" s="170"/>
      <c r="C194" s="170"/>
      <c r="D194" s="170"/>
      <c r="E194" s="170"/>
      <c r="F194" s="170"/>
      <c r="G194" s="170"/>
      <c r="H194" s="51">
        <f>ПТО!G12</f>
        <v>0</v>
      </c>
      <c r="I194" s="52" t="s">
        <v>73</v>
      </c>
    </row>
    <row r="195" spans="1:10" ht="18.75" hidden="1" customHeight="1">
      <c r="A195" s="170">
        <f>ПТО!F13</f>
        <v>0</v>
      </c>
      <c r="B195" s="170"/>
      <c r="C195" s="170"/>
      <c r="D195" s="170"/>
      <c r="E195" s="170"/>
      <c r="F195" s="170"/>
      <c r="G195" s="170"/>
      <c r="H195" s="51">
        <f>ПТО!G13</f>
        <v>0</v>
      </c>
      <c r="I195" s="52" t="s">
        <v>73</v>
      </c>
    </row>
    <row r="196" spans="1:10" ht="18.75" hidden="1" customHeight="1">
      <c r="A196" s="170">
        <f>ПТО!F14</f>
        <v>0</v>
      </c>
      <c r="B196" s="170"/>
      <c r="C196" s="170"/>
      <c r="D196" s="170"/>
      <c r="E196" s="170"/>
      <c r="F196" s="170"/>
      <c r="G196" s="170"/>
      <c r="H196" s="51">
        <f>ПТО!G14</f>
        <v>0</v>
      </c>
      <c r="I196" s="52" t="s">
        <v>73</v>
      </c>
    </row>
    <row r="197" spans="1:10" ht="18.75" hidden="1" customHeight="1">
      <c r="A197" s="170">
        <f>ПТО!F15</f>
        <v>0</v>
      </c>
      <c r="B197" s="170"/>
      <c r="C197" s="170"/>
      <c r="D197" s="170"/>
      <c r="E197" s="170"/>
      <c r="F197" s="170"/>
      <c r="G197" s="170"/>
      <c r="H197" s="51">
        <f>ПТО!G15</f>
        <v>0</v>
      </c>
      <c r="I197" s="52" t="s">
        <v>73</v>
      </c>
    </row>
    <row r="198" spans="1:10" ht="18.75" hidden="1" customHeight="1">
      <c r="A198" s="170">
        <f>ПТО!F16</f>
        <v>0</v>
      </c>
      <c r="B198" s="170"/>
      <c r="C198" s="170"/>
      <c r="D198" s="170"/>
      <c r="E198" s="170"/>
      <c r="F198" s="170"/>
      <c r="G198" s="170"/>
      <c r="H198" s="51">
        <f>ПТО!G16</f>
        <v>0</v>
      </c>
      <c r="I198" s="54" t="s">
        <v>73</v>
      </c>
    </row>
    <row r="199" spans="1:10" ht="18.75" hidden="1" customHeight="1">
      <c r="A199" s="170">
        <f>ПТО!F17</f>
        <v>0</v>
      </c>
      <c r="B199" s="170"/>
      <c r="C199" s="170"/>
      <c r="D199" s="170"/>
      <c r="E199" s="170"/>
      <c r="F199" s="170"/>
      <c r="G199" s="170"/>
      <c r="H199" s="51">
        <f>ПТО!G17</f>
        <v>0</v>
      </c>
      <c r="I199" s="52" t="s">
        <v>73</v>
      </c>
    </row>
    <row r="200" spans="1:10" hidden="1">
      <c r="A200" s="170">
        <f>ПТО!F18</f>
        <v>0</v>
      </c>
      <c r="B200" s="170"/>
      <c r="C200" s="170"/>
      <c r="D200" s="170"/>
      <c r="E200" s="170"/>
      <c r="F200" s="170"/>
      <c r="G200" s="170"/>
      <c r="H200" s="51">
        <f>ПТО!G18</f>
        <v>0</v>
      </c>
      <c r="I200" s="52" t="s">
        <v>73</v>
      </c>
    </row>
    <row r="201" spans="1:10" hidden="1">
      <c r="A201" s="170">
        <f>ПТО!F19</f>
        <v>0</v>
      </c>
      <c r="B201" s="170"/>
      <c r="C201" s="170"/>
      <c r="D201" s="170"/>
      <c r="E201" s="170"/>
      <c r="F201" s="170"/>
      <c r="G201" s="170"/>
      <c r="H201" s="51">
        <f>ПТО!G19</f>
        <v>0</v>
      </c>
      <c r="I201" s="52" t="s">
        <v>73</v>
      </c>
    </row>
    <row r="202" spans="1:10" hidden="1">
      <c r="A202" s="170">
        <f>ПТО!F20</f>
        <v>0</v>
      </c>
      <c r="B202" s="170"/>
      <c r="C202" s="170"/>
      <c r="D202" s="170"/>
      <c r="E202" s="170"/>
      <c r="F202" s="170"/>
      <c r="G202" s="170"/>
      <c r="H202" s="51">
        <f>ПТО!G20</f>
        <v>0</v>
      </c>
      <c r="I202" s="52" t="s">
        <v>73</v>
      </c>
    </row>
    <row r="203" spans="1:10" hidden="1">
      <c r="A203" s="170">
        <f>ПТО!F21</f>
        <v>0</v>
      </c>
      <c r="B203" s="170"/>
      <c r="C203" s="170"/>
      <c r="D203" s="170"/>
      <c r="E203" s="170"/>
      <c r="F203" s="170"/>
      <c r="G203" s="170"/>
      <c r="H203" s="51">
        <f>ПТО!G21</f>
        <v>0</v>
      </c>
      <c r="I203" s="52" t="s">
        <v>73</v>
      </c>
    </row>
    <row r="204" spans="1:10" hidden="1">
      <c r="A204" s="170">
        <f>ПТО!F22</f>
        <v>0</v>
      </c>
      <c r="B204" s="170"/>
      <c r="C204" s="170"/>
      <c r="D204" s="170"/>
      <c r="E204" s="170"/>
      <c r="F204" s="170"/>
      <c r="G204" s="170"/>
      <c r="H204" s="51">
        <f>ПТО!G22</f>
        <v>0</v>
      </c>
      <c r="I204" s="52" t="s">
        <v>73</v>
      </c>
    </row>
    <row r="205" spans="1:10" hidden="1">
      <c r="A205" s="170">
        <f>ПТО!F23</f>
        <v>0</v>
      </c>
      <c r="B205" s="170"/>
      <c r="C205" s="170"/>
      <c r="D205" s="170"/>
      <c r="E205" s="170"/>
      <c r="F205" s="170"/>
      <c r="G205" s="170"/>
      <c r="H205" s="51">
        <f>ПТО!G23</f>
        <v>0</v>
      </c>
      <c r="I205" s="52" t="s">
        <v>73</v>
      </c>
    </row>
    <row r="206" spans="1:10" hidden="1">
      <c r="A206" s="170">
        <f>ПТО!F24</f>
        <v>0</v>
      </c>
      <c r="B206" s="170"/>
      <c r="C206" s="170"/>
      <c r="D206" s="170"/>
      <c r="E206" s="170"/>
      <c r="F206" s="170"/>
      <c r="G206" s="170"/>
      <c r="H206" s="51">
        <f>ПТО!G24</f>
        <v>0</v>
      </c>
      <c r="I206" s="52" t="s">
        <v>73</v>
      </c>
    </row>
    <row r="207" spans="1:10" hidden="1">
      <c r="A207" s="170">
        <f>ПТО!F25</f>
        <v>0</v>
      </c>
      <c r="B207" s="170"/>
      <c r="C207" s="170"/>
      <c r="D207" s="170"/>
      <c r="E207" s="170"/>
      <c r="F207" s="170"/>
      <c r="G207" s="170"/>
      <c r="H207" s="51">
        <f>ПТО!G25</f>
        <v>0</v>
      </c>
      <c r="I207" s="52" t="s">
        <v>73</v>
      </c>
    </row>
    <row r="208" spans="1:10" hidden="1">
      <c r="A208" s="170">
        <f>ПТО!F26</f>
        <v>0</v>
      </c>
      <c r="B208" s="170"/>
      <c r="C208" s="170"/>
      <c r="D208" s="170"/>
      <c r="E208" s="170"/>
      <c r="F208" s="170"/>
      <c r="G208" s="170"/>
      <c r="H208" s="51">
        <f>ПТО!G26</f>
        <v>0</v>
      </c>
      <c r="I208" s="52" t="s">
        <v>73</v>
      </c>
    </row>
    <row r="209" spans="1:9" hidden="1">
      <c r="A209" s="170">
        <f>ПТО!F27</f>
        <v>0</v>
      </c>
      <c r="B209" s="170"/>
      <c r="C209" s="170"/>
      <c r="D209" s="170"/>
      <c r="E209" s="170"/>
      <c r="F209" s="170"/>
      <c r="G209" s="170"/>
      <c r="H209" s="51">
        <f>ПТО!G27</f>
        <v>0</v>
      </c>
      <c r="I209" s="52" t="s">
        <v>73</v>
      </c>
    </row>
    <row r="210" spans="1:9" hidden="1">
      <c r="A210" s="170">
        <f>ПТО!F28</f>
        <v>0</v>
      </c>
      <c r="B210" s="170"/>
      <c r="C210" s="170"/>
      <c r="D210" s="170"/>
      <c r="E210" s="170"/>
      <c r="F210" s="170"/>
      <c r="G210" s="170"/>
      <c r="H210" s="51">
        <f>ПТО!G28</f>
        <v>0</v>
      </c>
      <c r="I210" s="52" t="s">
        <v>73</v>
      </c>
    </row>
    <row r="211" spans="1:9" hidden="1">
      <c r="A211" s="170">
        <f>ПТО!F29</f>
        <v>0</v>
      </c>
      <c r="B211" s="170"/>
      <c r="C211" s="170"/>
      <c r="D211" s="170"/>
      <c r="E211" s="170"/>
      <c r="F211" s="170"/>
      <c r="G211" s="170"/>
      <c r="H211" s="51">
        <f>ПТО!G29</f>
        <v>0</v>
      </c>
      <c r="I211" s="52" t="s">
        <v>73</v>
      </c>
    </row>
    <row r="212" spans="1:9" hidden="1">
      <c r="A212" s="170">
        <f>ПТО!F30</f>
        <v>0</v>
      </c>
      <c r="B212" s="170"/>
      <c r="C212" s="170"/>
      <c r="D212" s="170"/>
      <c r="E212" s="170"/>
      <c r="F212" s="170"/>
      <c r="G212" s="170"/>
      <c r="H212" s="51">
        <f>ПТО!G30</f>
        <v>0</v>
      </c>
      <c r="I212" s="52" t="s">
        <v>73</v>
      </c>
    </row>
    <row r="213" spans="1:9" hidden="1">
      <c r="A213" s="170">
        <f>ПТО!F31</f>
        <v>0</v>
      </c>
      <c r="B213" s="170"/>
      <c r="C213" s="170"/>
      <c r="D213" s="170"/>
      <c r="E213" s="170"/>
      <c r="F213" s="170"/>
      <c r="G213" s="170"/>
      <c r="H213" s="51">
        <f>ПТО!G31</f>
        <v>0</v>
      </c>
      <c r="I213" s="52" t="s">
        <v>73</v>
      </c>
    </row>
    <row r="214" spans="1:9">
      <c r="A214" s="55"/>
      <c r="B214" s="56"/>
      <c r="C214" s="56"/>
      <c r="D214" s="56"/>
      <c r="E214" s="56"/>
      <c r="F214" s="56"/>
      <c r="G214" s="56"/>
      <c r="H214" s="57"/>
      <c r="I214" s="58"/>
    </row>
  </sheetData>
  <sheetProtection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I186:J186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193:J193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68:E68"/>
    <mergeCell ref="F68:G68"/>
    <mergeCell ref="I68:J68"/>
    <mergeCell ref="A69:E69"/>
    <mergeCell ref="F69:G69"/>
    <mergeCell ref="I69:J69"/>
    <mergeCell ref="A70:E70"/>
    <mergeCell ref="F70:G70"/>
    <mergeCell ref="I70:J70"/>
    <mergeCell ref="A162:E162"/>
    <mergeCell ref="F162:G162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E43" sqref="E4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175</v>
      </c>
      <c r="G1" s="104">
        <f>231.72</f>
        <v>231.72</v>
      </c>
    </row>
    <row r="2" spans="1:12" ht="18.75" customHeight="1">
      <c r="A2" s="132" t="s">
        <v>179</v>
      </c>
      <c r="B2" s="133" t="s">
        <v>180</v>
      </c>
      <c r="C2" s="134">
        <v>1</v>
      </c>
      <c r="D2" s="135">
        <v>15680.61</v>
      </c>
      <c r="E2" s="125" t="s">
        <v>181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/>
      <c r="B3" s="129"/>
      <c r="C3" s="122"/>
      <c r="D3" s="121"/>
      <c r="E3" s="130"/>
      <c r="F3" s="30"/>
      <c r="G3" s="30"/>
      <c r="L3" s="33">
        <f t="shared" si="0"/>
        <v>0</v>
      </c>
    </row>
    <row r="4" spans="1:12" ht="18.75" customHeight="1">
      <c r="A4" s="46"/>
      <c r="B4" s="131"/>
      <c r="C4" s="43"/>
      <c r="D4" s="48"/>
      <c r="E4" s="46"/>
      <c r="F4" s="30"/>
      <c r="G4" s="30"/>
      <c r="L4" s="33">
        <f t="shared" si="0"/>
        <v>0</v>
      </c>
    </row>
    <row r="5" spans="1:12" ht="18.75" customHeight="1">
      <c r="A5" s="46"/>
      <c r="B5" s="12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124"/>
      <c r="C6" s="43"/>
      <c r="D6" s="48"/>
      <c r="E6" s="125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176</v>
      </c>
      <c r="G11" s="114"/>
      <c r="L11" s="33">
        <f t="shared" si="0"/>
        <v>0</v>
      </c>
    </row>
    <row r="12" spans="1:12" ht="15.75">
      <c r="A12" s="30"/>
      <c r="F12" s="115"/>
      <c r="G12" s="116"/>
      <c r="L12" s="33">
        <f t="shared" si="0"/>
        <v>0</v>
      </c>
    </row>
    <row r="13" spans="1:12" ht="15.75">
      <c r="A13" s="30"/>
      <c r="F13" s="126"/>
      <c r="G13" s="127"/>
      <c r="L13" s="33">
        <f t="shared" si="0"/>
        <v>0</v>
      </c>
    </row>
    <row r="14" spans="1:12" ht="15.75">
      <c r="A14" s="30"/>
      <c r="F14" s="126"/>
      <c r="G14" s="127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136">
        <v>9604</v>
      </c>
      <c r="C39" s="38" t="s">
        <v>68</v>
      </c>
      <c r="D39" s="39">
        <v>8</v>
      </c>
      <c r="E39" s="136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9604</v>
      </c>
      <c r="O39" s="41" t="str">
        <f>C39</f>
        <v>Ежемесячно</v>
      </c>
      <c r="P39">
        <f>D39</f>
        <v>8</v>
      </c>
    </row>
    <row r="40" spans="1:16" ht="31.5" customHeight="1">
      <c r="A40" s="37" t="s">
        <v>172</v>
      </c>
      <c r="B40" s="136">
        <v>27284</v>
      </c>
      <c r="C40" s="38" t="s">
        <v>68</v>
      </c>
      <c r="D40" s="39">
        <v>8</v>
      </c>
      <c r="E40" s="136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27284</v>
      </c>
      <c r="O40" s="41" t="str">
        <f t="shared" ref="O40:O53" si="5">C40</f>
        <v>Ежемесячно</v>
      </c>
      <c r="P40">
        <f t="shared" ref="P40:P53" si="6">D40</f>
        <v>8</v>
      </c>
    </row>
    <row r="41" spans="1:16" ht="51">
      <c r="A41" s="37" t="s">
        <v>26</v>
      </c>
      <c r="B41" s="136">
        <v>16097.6</v>
      </c>
      <c r="C41" s="38" t="s">
        <v>69</v>
      </c>
      <c r="D41" s="39">
        <v>8</v>
      </c>
      <c r="E41" s="136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16097.6</v>
      </c>
      <c r="O41" s="41" t="str">
        <f t="shared" si="5"/>
        <v>В соответствии с графиком</v>
      </c>
      <c r="P41">
        <f t="shared" si="6"/>
        <v>8</v>
      </c>
    </row>
    <row r="42" spans="1:16" ht="25.5">
      <c r="A42" s="37" t="s">
        <v>23</v>
      </c>
      <c r="B42" s="136">
        <v>6548.16</v>
      </c>
      <c r="C42" s="38" t="s">
        <v>68</v>
      </c>
      <c r="D42" s="39">
        <v>8</v>
      </c>
      <c r="E42" s="136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6548.16</v>
      </c>
      <c r="O42" s="41" t="str">
        <f t="shared" si="5"/>
        <v>Ежемесячно</v>
      </c>
      <c r="P42">
        <f t="shared" si="6"/>
        <v>8</v>
      </c>
    </row>
    <row r="43" spans="1:16" ht="15.75">
      <c r="A43" s="37"/>
      <c r="B43" s="136">
        <v>0</v>
      </c>
      <c r="C43" s="38"/>
      <c r="D43" s="39">
        <v>8</v>
      </c>
      <c r="E43" s="136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8</v>
      </c>
    </row>
    <row r="44" spans="1:16" ht="25.5">
      <c r="A44" s="37" t="s">
        <v>24</v>
      </c>
      <c r="B44" s="136">
        <v>2728.4</v>
      </c>
      <c r="C44" s="38" t="s">
        <v>70</v>
      </c>
      <c r="D44" s="39">
        <v>8</v>
      </c>
      <c r="E44" s="136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2728.4</v>
      </c>
      <c r="O44" s="41" t="str">
        <f t="shared" si="5"/>
        <v>Круглосуточно</v>
      </c>
      <c r="P44">
        <f t="shared" si="6"/>
        <v>8</v>
      </c>
    </row>
    <row r="45" spans="1:16" ht="25.5">
      <c r="A45" s="37" t="s">
        <v>25</v>
      </c>
      <c r="B45" s="136">
        <v>11895.839999999998</v>
      </c>
      <c r="C45" s="38" t="s">
        <v>69</v>
      </c>
      <c r="D45" s="39">
        <v>8</v>
      </c>
      <c r="E45" s="136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11895.839999999998</v>
      </c>
      <c r="O45" s="41" t="str">
        <f t="shared" si="5"/>
        <v>В соответствии с графиком</v>
      </c>
      <c r="P45">
        <f t="shared" si="6"/>
        <v>8</v>
      </c>
    </row>
    <row r="46" spans="1:16">
      <c r="A46" s="37" t="s">
        <v>184</v>
      </c>
      <c r="B46" s="137">
        <f>(E46*G52*F54*6+E46*G52*G54*6)+(F46*G58*F60*6+F46*G58*G60*6)+(F46*G62*F64*6+F46*G62*G64*6)</f>
        <v>11168.6085</v>
      </c>
      <c r="C46" s="138" t="s">
        <v>68</v>
      </c>
      <c r="D46" s="50">
        <v>12</v>
      </c>
      <c r="E46" s="137">
        <v>252.5</v>
      </c>
      <c r="F46" s="137">
        <v>79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11168.6085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9"/>
      <c r="C47" s="138"/>
      <c r="D47" s="50"/>
      <c r="F47" s="31" t="s">
        <v>185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0" t="s">
        <v>186</v>
      </c>
      <c r="F51" s="140" t="s">
        <v>187</v>
      </c>
      <c r="G51" s="140" t="s">
        <v>188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0"/>
      <c r="F52" s="137">
        <v>1129.2</v>
      </c>
      <c r="G52" s="140">
        <v>2.5</v>
      </c>
      <c r="H52" s="140">
        <f>G52*E46/F52</f>
        <v>0.55902408784980517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0"/>
      <c r="F53" s="140" t="s">
        <v>189</v>
      </c>
      <c r="G53" s="140" t="s">
        <v>190</v>
      </c>
      <c r="H53" s="140">
        <f>H52*G55</f>
        <v>11.739505844845908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0"/>
      <c r="F54" s="140">
        <v>1.17</v>
      </c>
      <c r="G54" s="140">
        <v>1.23</v>
      </c>
      <c r="H54" s="140"/>
    </row>
    <row r="55" spans="5:16">
      <c r="E55" s="140"/>
      <c r="F55" s="140"/>
      <c r="G55" s="140">
        <v>21</v>
      </c>
      <c r="H55" s="140"/>
    </row>
    <row r="56" spans="5:16">
      <c r="E56" s="140"/>
      <c r="F56" s="140"/>
      <c r="G56" s="140"/>
      <c r="H56" s="140"/>
    </row>
    <row r="57" spans="5:16">
      <c r="E57" s="140" t="s">
        <v>191</v>
      </c>
      <c r="F57" s="140"/>
      <c r="G57" s="140"/>
      <c r="H57" s="140"/>
    </row>
    <row r="58" spans="5:16">
      <c r="E58" s="140"/>
      <c r="F58" s="137">
        <f>F52</f>
        <v>1129.2</v>
      </c>
      <c r="G58" s="140">
        <v>7.4999999999999997E-2</v>
      </c>
      <c r="H58" s="140">
        <f>G58*F46</f>
        <v>5.9249999999999998</v>
      </c>
    </row>
    <row r="59" spans="5:16">
      <c r="E59" s="140"/>
      <c r="F59" s="140" t="s">
        <v>189</v>
      </c>
      <c r="G59" s="140" t="s">
        <v>190</v>
      </c>
      <c r="H59" s="140">
        <f>H58/F58</f>
        <v>5.2470775770456961E-3</v>
      </c>
    </row>
    <row r="60" spans="5:16">
      <c r="E60" s="140"/>
      <c r="F60" s="140">
        <v>12.94</v>
      </c>
      <c r="G60" s="140">
        <v>13.45</v>
      </c>
      <c r="H60" s="140">
        <f>H59*G55</f>
        <v>0.11018862911795962</v>
      </c>
    </row>
    <row r="61" spans="5:16">
      <c r="E61" s="140" t="s">
        <v>192</v>
      </c>
      <c r="F61" s="140"/>
      <c r="G61" s="140"/>
      <c r="H61" s="140"/>
    </row>
    <row r="62" spans="5:16">
      <c r="E62" s="140"/>
      <c r="F62" s="137">
        <f>F52</f>
        <v>1129.2</v>
      </c>
      <c r="G62" s="140">
        <v>7.4999999999999997E-2</v>
      </c>
      <c r="H62" s="140">
        <f>G62*F46</f>
        <v>5.9249999999999998</v>
      </c>
    </row>
    <row r="63" spans="5:16">
      <c r="E63" s="140"/>
      <c r="F63" s="140" t="s">
        <v>189</v>
      </c>
      <c r="G63" s="140" t="s">
        <v>190</v>
      </c>
      <c r="H63" s="140">
        <f>H62/F62</f>
        <v>5.2470775770456961E-3</v>
      </c>
    </row>
    <row r="64" spans="5:16">
      <c r="E64" s="140"/>
      <c r="F64" s="140">
        <v>15.73</v>
      </c>
      <c r="G64" s="140">
        <v>16.350000000000001</v>
      </c>
      <c r="H64" s="140">
        <f>H63*G55</f>
        <v>0.11018862911795962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C32" sqref="C3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173</v>
      </c>
      <c r="F1" s="62">
        <v>682.1</v>
      </c>
    </row>
    <row r="2" spans="1:10" ht="15.75" customHeight="1">
      <c r="A2" s="72" t="s">
        <v>78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79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80</v>
      </c>
      <c r="B4" s="74" t="s">
        <v>4</v>
      </c>
      <c r="C4" s="85">
        <v>119904.84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81</v>
      </c>
      <c r="B5" s="74" t="s">
        <v>5</v>
      </c>
      <c r="C5" s="81">
        <f>SUM(C6:C8)</f>
        <v>108416.61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82</v>
      </c>
      <c r="B6" s="74" t="s">
        <v>6</v>
      </c>
      <c r="C6" s="85">
        <v>89590.65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83</v>
      </c>
      <c r="B7" s="74" t="s">
        <v>7</v>
      </c>
      <c r="C7" s="85">
        <f>F1*3.45*8</f>
        <v>18825.960000000003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84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85</v>
      </c>
      <c r="B9" s="74" t="s">
        <v>9</v>
      </c>
      <c r="C9" s="81">
        <f>SUM(C10:C14)</f>
        <v>135236.35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86</v>
      </c>
      <c r="B10" s="74" t="s">
        <v>10</v>
      </c>
      <c r="C10" s="85">
        <v>135236.35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87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88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89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90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91</v>
      </c>
      <c r="B15" s="74" t="s">
        <v>15</v>
      </c>
      <c r="C15" s="81">
        <f>C9</f>
        <v>135236.35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92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93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94</v>
      </c>
      <c r="B18" s="74" t="s">
        <v>18</v>
      </c>
      <c r="C18" s="81">
        <f>IF(C16&gt;0,0,IF(C4&gt;0,C4+C5-C9,C5-C2-C9))</f>
        <v>93085.1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157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95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3"/>
      <c r="N20" s="64"/>
    </row>
    <row r="21" spans="1:15" ht="15.75" customHeight="1">
      <c r="A21" s="72" t="s">
        <v>96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3"/>
      <c r="N21" s="64"/>
    </row>
    <row r="22" spans="1:15" ht="15.75" customHeight="1">
      <c r="A22" s="72" t="s">
        <v>97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3"/>
      <c r="N22" s="64"/>
    </row>
    <row r="23" spans="1:15" ht="15.75" customHeight="1">
      <c r="A23" s="72" t="s">
        <v>98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3"/>
      <c r="N23" s="64"/>
    </row>
    <row r="24" spans="1:15" ht="18.75">
      <c r="A24" s="75" t="s">
        <v>158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99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2"/>
      <c r="N25" s="65"/>
    </row>
    <row r="26" spans="1:15" ht="18.75" customHeight="1">
      <c r="A26" s="72" t="s">
        <v>100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2"/>
      <c r="N26" s="65"/>
    </row>
    <row r="27" spans="1:15" ht="18.75" customHeight="1">
      <c r="A27" s="72" t="s">
        <v>101</v>
      </c>
      <c r="B27" s="77" t="s">
        <v>4</v>
      </c>
      <c r="C27" s="88">
        <v>104583.92</v>
      </c>
      <c r="D27" s="83" t="s">
        <v>60</v>
      </c>
      <c r="E27" s="66"/>
      <c r="F27" s="66"/>
      <c r="G27" s="66"/>
      <c r="H27" s="66"/>
      <c r="I27" s="66"/>
      <c r="J27" s="66"/>
      <c r="M27" s="172"/>
      <c r="N27" s="65"/>
    </row>
    <row r="28" spans="1:15" ht="18.75" customHeight="1">
      <c r="A28" s="72" t="s">
        <v>102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2"/>
      <c r="N28" s="65"/>
    </row>
    <row r="29" spans="1:15" ht="18.75" customHeight="1">
      <c r="A29" s="72" t="s">
        <v>103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2"/>
      <c r="N29" s="65"/>
    </row>
    <row r="30" spans="1:15" ht="18.75" customHeight="1">
      <c r="A30" s="72" t="s">
        <v>104</v>
      </c>
      <c r="B30" s="77" t="s">
        <v>18</v>
      </c>
      <c r="C30" s="88">
        <v>105846.69</v>
      </c>
      <c r="D30" s="83" t="s">
        <v>66</v>
      </c>
      <c r="E30" s="66"/>
      <c r="F30" s="66"/>
      <c r="G30" s="66"/>
      <c r="H30" s="66"/>
      <c r="I30" s="66"/>
      <c r="J30" s="66"/>
      <c r="M30" s="172"/>
      <c r="N30" s="65"/>
    </row>
    <row r="31" spans="1:15" ht="18.75" customHeight="1">
      <c r="A31" s="72" t="s">
        <v>105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2"/>
      <c r="N31" s="65"/>
    </row>
    <row r="32" spans="1:15" ht="18.75" customHeight="1">
      <c r="A32" s="72" t="s">
        <v>106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2"/>
      <c r="N32" s="65"/>
    </row>
    <row r="33" spans="1:15" ht="18.75" customHeight="1">
      <c r="A33" s="72" t="s">
        <v>107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2"/>
      <c r="N33" s="65"/>
    </row>
    <row r="34" spans="1:15" ht="18.75" customHeight="1">
      <c r="A34" s="72" t="s">
        <v>108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2"/>
      <c r="N34" s="65"/>
    </row>
    <row r="35" spans="1:15" ht="18.75">
      <c r="A35" s="75" t="s">
        <v>159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160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116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6606.5</v>
      </c>
      <c r="F37" s="96" t="s">
        <v>163</v>
      </c>
      <c r="G37" s="68"/>
      <c r="H37" s="68"/>
      <c r="I37" s="68"/>
      <c r="L37" s="65"/>
      <c r="M37" s="171"/>
      <c r="N37" s="65"/>
      <c r="O37" s="65"/>
    </row>
    <row r="38" spans="1:15" ht="18.75" customHeight="1">
      <c r="A38" s="72" t="s">
        <v>109</v>
      </c>
      <c r="B38" s="80" t="s">
        <v>37</v>
      </c>
      <c r="C38" s="92">
        <v>5505.42</v>
      </c>
      <c r="D38" s="96" t="s">
        <v>161</v>
      </c>
      <c r="E38" s="70"/>
      <c r="G38" s="69"/>
      <c r="H38" s="69"/>
      <c r="L38" s="65"/>
      <c r="M38" s="171"/>
      <c r="N38" s="65"/>
      <c r="O38" s="65"/>
    </row>
    <row r="39" spans="1:15" ht="18.75" customHeight="1">
      <c r="A39" s="72" t="s">
        <v>110</v>
      </c>
      <c r="B39" s="80" t="s">
        <v>38</v>
      </c>
      <c r="C39" s="93">
        <v>10383.26</v>
      </c>
      <c r="D39" s="96" t="s">
        <v>162</v>
      </c>
      <c r="E39" s="70"/>
      <c r="G39" s="69"/>
      <c r="H39" s="69"/>
      <c r="L39" s="65"/>
      <c r="M39" s="171"/>
      <c r="N39" s="65"/>
      <c r="O39" s="65"/>
    </row>
    <row r="40" spans="1:15" ht="18.75" customHeight="1">
      <c r="A40" s="72" t="s">
        <v>111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1"/>
      <c r="N40" s="65"/>
      <c r="O40" s="65"/>
    </row>
    <row r="41" spans="1:15" ht="18.75" customHeight="1">
      <c r="A41" s="72" t="s">
        <v>112</v>
      </c>
      <c r="B41" s="80" t="s">
        <v>40</v>
      </c>
      <c r="C41" s="95">
        <f>E37</f>
        <v>6606.5</v>
      </c>
      <c r="D41" s="82" t="s">
        <v>59</v>
      </c>
      <c r="E41" s="70"/>
      <c r="G41" s="69"/>
      <c r="H41" s="69"/>
      <c r="L41" s="65"/>
      <c r="M41" s="171"/>
      <c r="N41" s="65"/>
      <c r="O41" s="65"/>
    </row>
    <row r="42" spans="1:15" ht="18.75" customHeight="1">
      <c r="A42" s="72" t="s">
        <v>113</v>
      </c>
      <c r="B42" s="80" t="s">
        <v>41</v>
      </c>
      <c r="C42" s="95">
        <f>E37</f>
        <v>6606.5</v>
      </c>
      <c r="D42" s="82" t="s">
        <v>59</v>
      </c>
      <c r="E42" s="70"/>
      <c r="G42" s="69"/>
      <c r="H42" s="69"/>
      <c r="L42" s="65"/>
      <c r="M42" s="171"/>
      <c r="N42" s="65"/>
      <c r="O42" s="65"/>
    </row>
    <row r="43" spans="1:15" ht="18.75" customHeight="1">
      <c r="A43" s="72" t="s">
        <v>114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1"/>
      <c r="N43" s="65"/>
      <c r="O43" s="65"/>
    </row>
    <row r="44" spans="1:15" ht="30" customHeight="1">
      <c r="A44" s="72" t="s">
        <v>115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1"/>
      <c r="N44" s="65"/>
      <c r="O44" s="65"/>
    </row>
    <row r="45" spans="1:15" ht="18.75">
      <c r="A45" s="75" t="s">
        <v>117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8358.3799999999992</v>
      </c>
      <c r="F45" s="96" t="s">
        <v>163</v>
      </c>
      <c r="G45" s="68"/>
      <c r="H45" s="68"/>
      <c r="L45" s="65"/>
      <c r="M45" s="171"/>
      <c r="N45" s="65"/>
      <c r="O45" s="65"/>
    </row>
    <row r="46" spans="1:15" ht="18.75" customHeight="1">
      <c r="A46" s="75" t="s">
        <v>118</v>
      </c>
      <c r="B46" s="80" t="s">
        <v>37</v>
      </c>
      <c r="C46" s="92">
        <v>633.21</v>
      </c>
      <c r="D46" s="96" t="s">
        <v>164</v>
      </c>
      <c r="E46" s="70"/>
      <c r="G46" s="69"/>
      <c r="H46" s="69"/>
      <c r="L46" s="65"/>
      <c r="M46" s="171"/>
      <c r="N46" s="65"/>
      <c r="O46" s="65"/>
    </row>
    <row r="47" spans="1:15" ht="18.75" customHeight="1">
      <c r="A47" s="75" t="s">
        <v>119</v>
      </c>
      <c r="B47" s="80" t="s">
        <v>38</v>
      </c>
      <c r="C47" s="93">
        <v>6187.95</v>
      </c>
      <c r="D47" s="96" t="s">
        <v>162</v>
      </c>
      <c r="E47" s="70"/>
      <c r="G47" s="69"/>
      <c r="H47" s="69"/>
      <c r="L47" s="65"/>
      <c r="M47" s="171"/>
      <c r="N47" s="65"/>
      <c r="O47" s="65"/>
    </row>
    <row r="48" spans="1:15" ht="18.75" customHeight="1">
      <c r="A48" s="75" t="s">
        <v>120</v>
      </c>
      <c r="B48" s="80" t="s">
        <v>39</v>
      </c>
      <c r="C48" s="95">
        <f>IF(E45-C47&lt;0,0,E45-C47)</f>
        <v>2170.4299999999994</v>
      </c>
      <c r="D48" s="82" t="s">
        <v>59</v>
      </c>
      <c r="E48" s="70"/>
      <c r="G48" s="69"/>
      <c r="H48" s="69"/>
      <c r="L48" s="65"/>
      <c r="M48" s="171"/>
      <c r="N48" s="65"/>
      <c r="O48" s="65"/>
    </row>
    <row r="49" spans="1:15" ht="18.75" customHeight="1">
      <c r="A49" s="75" t="s">
        <v>121</v>
      </c>
      <c r="B49" s="80" t="s">
        <v>40</v>
      </c>
      <c r="C49" s="95">
        <f>E45</f>
        <v>8358.3799999999992</v>
      </c>
      <c r="D49" s="82" t="s">
        <v>59</v>
      </c>
      <c r="E49" s="70"/>
      <c r="G49" s="69"/>
      <c r="H49" s="69"/>
      <c r="L49" s="65"/>
      <c r="M49" s="171"/>
      <c r="N49" s="65"/>
      <c r="O49" s="65"/>
    </row>
    <row r="50" spans="1:15" ht="18.75" customHeight="1">
      <c r="A50" s="75" t="s">
        <v>122</v>
      </c>
      <c r="B50" s="80" t="s">
        <v>41</v>
      </c>
      <c r="C50" s="95">
        <f>E45</f>
        <v>8358.3799999999992</v>
      </c>
      <c r="D50" s="82" t="s">
        <v>59</v>
      </c>
      <c r="E50" s="70"/>
      <c r="G50" s="69"/>
      <c r="H50" s="69"/>
      <c r="L50" s="65"/>
      <c r="M50" s="171"/>
      <c r="N50" s="65"/>
      <c r="O50" s="65"/>
    </row>
    <row r="51" spans="1:15" ht="18.75" customHeight="1">
      <c r="A51" s="75" t="s">
        <v>123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1"/>
      <c r="N51" s="65"/>
      <c r="O51" s="65"/>
    </row>
    <row r="52" spans="1:15" ht="29.25" customHeight="1">
      <c r="A52" s="75" t="s">
        <v>124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1"/>
      <c r="N52" s="65"/>
      <c r="O52" s="65"/>
    </row>
    <row r="53" spans="1:15" ht="18.75">
      <c r="A53" s="75" t="s">
        <v>125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18370.96</v>
      </c>
      <c r="F53" s="96" t="s">
        <v>163</v>
      </c>
      <c r="G53" s="68"/>
      <c r="H53" s="68"/>
      <c r="L53" s="65"/>
      <c r="M53" s="171"/>
      <c r="N53" s="65"/>
      <c r="O53" s="65"/>
    </row>
    <row r="54" spans="1:15" ht="18.75" customHeight="1">
      <c r="A54" s="75" t="s">
        <v>126</v>
      </c>
      <c r="B54" s="77" t="s">
        <v>37</v>
      </c>
      <c r="C54" s="101">
        <v>1145.32</v>
      </c>
      <c r="D54" s="96" t="s">
        <v>164</v>
      </c>
      <c r="E54" s="71"/>
      <c r="F54" s="91"/>
      <c r="G54" s="66"/>
      <c r="H54" s="66"/>
      <c r="L54" s="65"/>
      <c r="M54" s="171"/>
      <c r="N54" s="65"/>
      <c r="O54" s="65"/>
    </row>
    <row r="55" spans="1:15" ht="18.75" customHeight="1">
      <c r="A55" s="75" t="s">
        <v>127</v>
      </c>
      <c r="B55" s="77" t="s">
        <v>38</v>
      </c>
      <c r="C55" s="88">
        <v>16454.63</v>
      </c>
      <c r="D55" s="96" t="s">
        <v>162</v>
      </c>
      <c r="E55" s="71"/>
      <c r="G55" s="66"/>
      <c r="H55" s="66"/>
      <c r="L55" s="65"/>
      <c r="M55" s="171"/>
      <c r="N55" s="65"/>
      <c r="O55" s="65"/>
    </row>
    <row r="56" spans="1:15" ht="18.75" customHeight="1">
      <c r="A56" s="75" t="s">
        <v>128</v>
      </c>
      <c r="B56" s="77" t="s">
        <v>39</v>
      </c>
      <c r="C56" s="95">
        <f>IF(E53-C55&lt;0,0,E53-C55)</f>
        <v>1916.3299999999981</v>
      </c>
      <c r="D56" s="82" t="s">
        <v>59</v>
      </c>
      <c r="E56" s="71"/>
      <c r="G56" s="66"/>
      <c r="H56" s="66"/>
      <c r="L56" s="65"/>
      <c r="M56" s="171"/>
      <c r="N56" s="65"/>
      <c r="O56" s="65"/>
    </row>
    <row r="57" spans="1:15" ht="18.75" customHeight="1">
      <c r="A57" s="75" t="s">
        <v>129</v>
      </c>
      <c r="B57" s="77" t="s">
        <v>40</v>
      </c>
      <c r="C57" s="95">
        <f>E53</f>
        <v>18370.96</v>
      </c>
      <c r="D57" s="82" t="s">
        <v>59</v>
      </c>
      <c r="E57" s="71"/>
      <c r="G57" s="66"/>
      <c r="H57" s="66"/>
      <c r="L57" s="65"/>
      <c r="M57" s="171"/>
      <c r="N57" s="65"/>
      <c r="O57" s="65"/>
    </row>
    <row r="58" spans="1:15" ht="18.75" customHeight="1">
      <c r="A58" s="75" t="s">
        <v>130</v>
      </c>
      <c r="B58" s="77" t="s">
        <v>41</v>
      </c>
      <c r="C58" s="95">
        <f>E53</f>
        <v>18370.96</v>
      </c>
      <c r="D58" s="82" t="s">
        <v>59</v>
      </c>
      <c r="E58" s="71"/>
      <c r="G58" s="66"/>
      <c r="H58" s="66"/>
      <c r="L58" s="65"/>
      <c r="M58" s="171"/>
      <c r="N58" s="65"/>
      <c r="O58" s="65"/>
    </row>
    <row r="59" spans="1:15" ht="18.75" customHeight="1">
      <c r="A59" s="75" t="s">
        <v>131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1"/>
      <c r="N59" s="65"/>
      <c r="O59" s="65"/>
    </row>
    <row r="60" spans="1:15" ht="33.75" customHeight="1">
      <c r="A60" s="75" t="s">
        <v>132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1"/>
      <c r="N60" s="65"/>
      <c r="O60" s="65"/>
    </row>
    <row r="61" spans="1:15" ht="15.75">
      <c r="A61" s="75" t="s">
        <v>133</v>
      </c>
      <c r="B61" s="79" t="s">
        <v>74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163</v>
      </c>
      <c r="G61" s="68"/>
      <c r="H61" s="68"/>
    </row>
    <row r="62" spans="1:15" ht="15.75" customHeight="1">
      <c r="A62" s="75" t="s">
        <v>134</v>
      </c>
      <c r="B62" s="77" t="s">
        <v>37</v>
      </c>
      <c r="C62" s="101">
        <v>0</v>
      </c>
      <c r="D62" s="96" t="s">
        <v>164</v>
      </c>
      <c r="E62" s="71"/>
      <c r="G62" s="66"/>
      <c r="H62" s="66"/>
    </row>
    <row r="63" spans="1:15" ht="15.75" customHeight="1">
      <c r="A63" s="75" t="s">
        <v>135</v>
      </c>
      <c r="B63" s="77" t="s">
        <v>38</v>
      </c>
      <c r="C63" s="88">
        <v>0</v>
      </c>
      <c r="D63" s="96" t="s">
        <v>162</v>
      </c>
      <c r="E63" s="71"/>
      <c r="G63" s="66"/>
      <c r="H63" s="66"/>
    </row>
    <row r="64" spans="1:15" ht="15.75" customHeight="1">
      <c r="A64" s="75" t="s">
        <v>136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137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138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139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140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141</v>
      </c>
      <c r="B69" s="79" t="s">
        <v>75</v>
      </c>
      <c r="C69" s="98" t="str">
        <f>IF(E69&gt;0,"Предоставляется",0)</f>
        <v>Предоставляется</v>
      </c>
      <c r="D69" s="98" t="s">
        <v>55</v>
      </c>
      <c r="E69" s="97">
        <v>5832.75</v>
      </c>
      <c r="F69" s="96" t="s">
        <v>163</v>
      </c>
      <c r="G69" s="68"/>
      <c r="H69" s="68"/>
    </row>
    <row r="70" spans="1:8" ht="15.75" customHeight="1">
      <c r="A70" s="75" t="s">
        <v>142</v>
      </c>
      <c r="B70" s="77" t="s">
        <v>37</v>
      </c>
      <c r="C70" s="101">
        <v>369.7</v>
      </c>
      <c r="D70" s="96" t="s">
        <v>164</v>
      </c>
      <c r="E70" s="71"/>
      <c r="G70" s="66"/>
      <c r="H70" s="66"/>
    </row>
    <row r="71" spans="1:8" ht="15.75" customHeight="1">
      <c r="A71" s="75" t="s">
        <v>143</v>
      </c>
      <c r="B71" s="77" t="s">
        <v>38</v>
      </c>
      <c r="C71" s="88">
        <v>4879.9799999999996</v>
      </c>
      <c r="D71" s="96" t="s">
        <v>162</v>
      </c>
      <c r="E71" s="71"/>
      <c r="G71" s="66"/>
      <c r="H71" s="66"/>
    </row>
    <row r="72" spans="1:8" ht="15.75" customHeight="1">
      <c r="A72" s="75" t="s">
        <v>144</v>
      </c>
      <c r="B72" s="77" t="s">
        <v>39</v>
      </c>
      <c r="C72" s="95">
        <f>IF(E69-C71&lt;0,0,E69-C71)</f>
        <v>952.77000000000044</v>
      </c>
      <c r="D72" s="82" t="s">
        <v>59</v>
      </c>
      <c r="E72" s="71"/>
      <c r="G72" s="66"/>
      <c r="H72" s="66"/>
    </row>
    <row r="73" spans="1:8" ht="15.75" customHeight="1">
      <c r="A73" s="75" t="s">
        <v>145</v>
      </c>
      <c r="B73" s="77" t="s">
        <v>40</v>
      </c>
      <c r="C73" s="95">
        <f>E69</f>
        <v>5832.75</v>
      </c>
      <c r="D73" s="82" t="s">
        <v>59</v>
      </c>
      <c r="E73" s="71"/>
      <c r="G73" s="66"/>
      <c r="H73" s="66"/>
    </row>
    <row r="74" spans="1:8" ht="15.75" customHeight="1">
      <c r="A74" s="75" t="s">
        <v>146</v>
      </c>
      <c r="B74" s="77" t="s">
        <v>41</v>
      </c>
      <c r="C74" s="95">
        <f>E69</f>
        <v>5832.75</v>
      </c>
      <c r="D74" s="82" t="s">
        <v>59</v>
      </c>
      <c r="E74" s="71"/>
      <c r="G74" s="66"/>
      <c r="H74" s="66"/>
    </row>
    <row r="75" spans="1:8" ht="15.75" customHeight="1">
      <c r="A75" s="75" t="s">
        <v>147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148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149</v>
      </c>
      <c r="B77" s="79" t="s">
        <v>76</v>
      </c>
      <c r="C77" s="98">
        <f>IF(E77&gt;0,"Предоставляется",0)</f>
        <v>0</v>
      </c>
      <c r="D77" s="98" t="s">
        <v>77</v>
      </c>
      <c r="E77" s="97">
        <v>0</v>
      </c>
      <c r="F77" s="96" t="s">
        <v>163</v>
      </c>
      <c r="G77" s="68"/>
      <c r="H77" s="68"/>
    </row>
    <row r="78" spans="1:8" ht="15.75" customHeight="1">
      <c r="A78" s="75" t="s">
        <v>150</v>
      </c>
      <c r="B78" s="77" t="s">
        <v>37</v>
      </c>
      <c r="C78" s="101">
        <v>0</v>
      </c>
      <c r="D78" s="96" t="s">
        <v>165</v>
      </c>
      <c r="E78" s="66"/>
      <c r="G78" s="66"/>
      <c r="H78" s="66"/>
    </row>
    <row r="79" spans="1:8" ht="15.75" customHeight="1">
      <c r="A79" s="75" t="s">
        <v>151</v>
      </c>
      <c r="B79" s="77" t="s">
        <v>38</v>
      </c>
      <c r="C79" s="88">
        <v>0</v>
      </c>
      <c r="D79" s="96" t="s">
        <v>162</v>
      </c>
      <c r="E79" s="66"/>
      <c r="G79" s="66"/>
      <c r="H79" s="66"/>
    </row>
    <row r="80" spans="1:8" ht="15.75" customHeight="1">
      <c r="A80" s="75" t="s">
        <v>152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153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154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155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156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166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167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168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2022-03-25T08:42:18Z</dcterms:modified>
</cp:coreProperties>
</file>