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9" i="2"/>
  <c r="H60" i="2" s="1"/>
  <c r="H58" i="2"/>
  <c r="F58" i="2"/>
  <c r="H52" i="2"/>
  <c r="H53" i="2" s="1"/>
  <c r="B46" i="2"/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4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101" i="1"/>
  <c r="G94" i="1"/>
  <c r="K94" i="1"/>
  <c r="A119" i="1" l="1"/>
  <c r="A112" i="1"/>
  <c r="A117" i="1"/>
  <c r="A118" i="1"/>
  <c r="A123" i="1"/>
  <c r="A122" i="1"/>
  <c r="D110" i="1"/>
  <c r="A113" i="1"/>
  <c r="F94" i="1"/>
  <c r="F134" i="1"/>
  <c r="A124" i="1"/>
  <c r="A141" i="1"/>
  <c r="D118" i="1"/>
  <c r="A120" i="1"/>
  <c r="A97" i="1"/>
  <c r="A110" i="1"/>
  <c r="A111" i="1"/>
  <c r="F118" i="1"/>
  <c r="A121" i="1"/>
  <c r="A137" i="1"/>
  <c r="A99" i="1"/>
  <c r="A98" i="1"/>
  <c r="A94" i="1"/>
  <c r="A95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<sst xmlns="http://schemas.openxmlformats.org/spreadsheetml/2006/main" count="559" uniqueCount="206">
  <si>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</si>
  <si>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</si>
  <si>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</si>
  <si>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</si>
  <si>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</si>
  <si>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</si>
  <si>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</si>
  <si>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</si>
  <si>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</si>
  <si>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</si>
  <si>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</si>
  <si>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</si>
  <si>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</si>
  <si>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</si>
  <si>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</si>
  <si>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</si>
  <si>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</si>
  <si>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</si>
  <si>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</si>
  <si>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</si>
  <si>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</si>
  <si>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</si>
  <si>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</si>
  <si>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</si>
  <si>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</si>
  <si>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</si>
  <si>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</si>
  <si>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</si>
  <si>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</si>
  <si>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</si>
  <si>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</si>
  <si>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</si>
  <si>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</si>
  <si>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</si>
  <si>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</si>
  <si>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</si>
  <si>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</si>
  <si>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</si>
  <si>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</si>
  <si>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</si>
  <si>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</si>
  <si>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</si>
  <si>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</si>
  <si>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</si>
  <si>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</si>
  <si>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</si>
  <si>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</si>
  <si>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</si>
  <si>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</si>
  <si>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</si>
  <si>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</si>
  <si>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</si>
  <si>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</si>
  <si>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</si>
  <si>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</si>
  <si>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</si>
  <si>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</si>
  <si>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</si>
  <si>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</si>
  <si>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</si>
  <si>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</si>
  <si>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</si>
  <si>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</si>
  <si>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</si>
  <si>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</si>
  <si>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</si>
  <si>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</si>
  <si>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</si>
  <si>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</si>
  <si>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</si>
  <si>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</si>
  <si>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</si>
  <si>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</si>
  <si>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</si>
  <si>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</si>
  <si>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</si>
  <si>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</si>
  <si>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</si>
  <si>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</si>
  <si>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</si>
  <si>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</si>
  <si>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</si>
  <si>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</si>
  <si>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</si>
  <si>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</si>
  <si>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</si>
  <si>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</si>
  <si>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</si>
  <si>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</si>
  <si>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</si>
  <si>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</si>
  <si>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</si>
  <si>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</si>
  <si>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</si>
  <si>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</si>
  <si>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</si>
  <si>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</si>
  <si>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</si>
  <si>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</si>
  <si>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</si>
  <si>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</si>
  <si>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</si>
  <si>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</si>
  <si>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</si>
  <si>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</si>
  <si>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</si>
  <si>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</si>
  <si>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</si>
  <si>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</si>
  <si>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</si>
  <si>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</si>
  <si>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</si>
  <si>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</si>
  <si>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</si>
  <si>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</si>
  <si>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</si>
  <si>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</si>
  <si>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</si>
  <si>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</si>
  <si>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</si>
  <si>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</si>
  <si>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</si>
  <si>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</si>
  <si>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</si>
  <si>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</si>
  <si>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</si>
  <si>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</si>
  <si>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</si>
  <si>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</si>
  <si>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</si>
  <si>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</si>
  <si>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</si>
  <si>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</si>
  <si>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</si>
  <si>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</si>
  <si>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</si>
  <si>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</si>
  <si>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</si>
  <si>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</si>
  <si>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</si>
  <si>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</si>
  <si>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</si>
  <si>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</si>
  <si>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</si>
  <si>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</si>
  <si>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</si>
  <si>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</si>
  <si>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</si>
  <si>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</si>
  <si>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</si>
  <si>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</si>
  <si>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</si>
  <si>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</si>
  <si>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</si>
  <si>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</si>
  <si>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</si>
  <si>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</si>
  <si>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</si>
  <si>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</si>
  <si>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</si>
  <si>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</si>
  <si>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</si>
  <si>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</si>
  <si>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</si>
  <si>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</si>
  <si>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</si>
  <si>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</si>
  <si>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</si>
  <si>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</si>
  <si>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</si>
  <si>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</si>
  <si>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</si>
  <si>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</si>
  <si>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</si>
  <si>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84</t>
  </si>
  <si>
    <t>ежемесячно</t>
  </si>
  <si>
    <t>площадь дома</t>
  </si>
  <si>
    <t>с 01.08.2019 приказ №59 от 26.08.2019, Протокол №1-2 от 29.05.2019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</si>
  <si>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</si>
  <si>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</si>
  <si>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84 в части текущего ремонта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</si>
  <si>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</si>
  <si>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</si>
  <si>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</si>
  <si>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</si>
  <si>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</si>
  <si>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Замена аккумулятора охранной сигнализации.</t>
  </si>
  <si>
    <t>разово</t>
  </si>
  <si>
    <t>АВР 1/21 от 12.05.2021, счет №2576 от 26.01.2021</t>
  </si>
  <si>
    <t>АВР 2/21 от 23.08.2021, Решение, счета №12783 от 09.08.21, №228 от 09.08.21</t>
  </si>
  <si>
    <t>Аварийный ремонт теплообменника ГВС (замена уплотнительных прокладок).</t>
  </si>
  <si>
    <t>АВР 3/21 от 01.09.2021</t>
  </si>
  <si>
    <t>Установка профлиста на вентиляционную шахту, герметизация стыков жидкой резиной (кв.29).</t>
  </si>
  <si>
    <t>Приобретение и установка информационного стенда на детскую площадку.</t>
  </si>
  <si>
    <t>АВР 4/21 от 29.11.2021</t>
  </si>
  <si>
    <t>АВР 5/21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</si>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</sst>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25" fillId="0" borderId="0"/>
    <xf numFmtId="0" fontId="25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87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24" fillId="0" borderId="0" xfId="5" applyFont="1" applyFill="1" applyBorder="1" applyAlignment="1"/>
    <xf numFmtId="4" fontId="10" fillId="0" borderId="0" xfId="5" applyNumberFormat="1" applyBorder="1" applyAlignment="1"/>
    <xf numFmtId="0" fontId="24" fillId="0" borderId="0" xfId="5" applyFont="1" applyFill="1" applyBorder="1" applyAlignment="1">
      <alignment horizontal="center"/>
    </xf>
    <xf numFmtId="4" fontId="14" fillId="0" borderId="5" xfId="0" applyNumberFormat="1" applyFont="1" applyBorder="1" applyAlignment="1">
      <alignment horizontal="center" vertical="center" wrapText="1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Protection="1"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6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5" fillId="0" borderId="0" xfId="13" applyFont="1" applyFill="1" applyBorder="1" applyAlignment="1"/>
    <xf numFmtId="0" fontId="5" fillId="0" borderId="0" xfId="13" applyFont="1" applyFill="1" applyBorder="1" applyAlignment="1">
      <alignment horizontal="center"/>
    </xf>
    <xf numFmtId="0" fontId="24" fillId="0" borderId="0" xfId="13" applyFont="1" applyFill="1" applyBorder="1" applyAlignment="1">
      <alignment horizontal="center"/>
    </xf>
    <xf numFmtId="4" fontId="24" fillId="0" borderId="0" xfId="13" applyNumberFormat="1" applyFont="1" applyFill="1" applyBorder="1" applyAlignment="1"/>
    <xf numFmtId="4" fontId="24" fillId="0" borderId="0" xfId="0" applyNumberFormat="1" applyFont="1" applyFill="1" applyBorder="1" applyAlignment="1">
      <alignment horizontal="left"/>
    </xf>
    <xf numFmtId="0" fontId="4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29" applyFont="1" applyFill="1" applyBorder="1" applyAlignment="1"/>
    <xf numFmtId="4" fontId="3" fillId="0" borderId="0" xfId="30" applyNumberFormat="1" applyFill="1" applyBorder="1" applyAlignment="1"/>
    <xf numFmtId="0" fontId="3" fillId="0" borderId="0" xfId="19" applyFont="1" applyFill="1" applyBorder="1"/>
    <xf numFmtId="4" fontId="0" fillId="0" borderId="0" xfId="0" applyNumberFormat="1" applyBorder="1" applyAlignment="1">
      <alignment horizontal="center"/>
    </xf>
    <xf numFmtId="4" fontId="26" fillId="3" borderId="0" xfId="46" applyNumberFormat="1" applyFont="1" applyFill="1" applyBorder="1" applyAlignment="1">
      <alignment horizontal="left" vertical="center" wrapText="1"/>
    </xf>
    <xf numFmtId="4" fontId="34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47">
    <cellStyle name="Обычный" xfId="0" builtinId="0"/>
    <cellStyle name="Обычный 2" xfId="1"/>
    <cellStyle name="Обычный 2 2" xfId="3"/>
    <cellStyle name="Обычный 2 3" xfId="11"/>
    <cellStyle name="Обычный 2 3 2" xfId="38"/>
    <cellStyle name="Обычный 2 3 3" xfId="21"/>
    <cellStyle name="Обычный 2 4" xfId="28"/>
    <cellStyle name="Обычный 2 5" xfId="33"/>
    <cellStyle name="Обычный 2 5 2" xfId="46"/>
    <cellStyle name="Обычный 2 6" xfId="41"/>
    <cellStyle name="Обычный 2 7" xfId="16"/>
    <cellStyle name="Обычный 3" xfId="2"/>
    <cellStyle name="Обычный 3 2" xfId="8"/>
    <cellStyle name="Обычный 3 3" xfId="7"/>
    <cellStyle name="Обычный 3 4" xfId="12"/>
    <cellStyle name="Обычный 3 4 2" xfId="39"/>
    <cellStyle name="Обычный 3 4 3" xfId="26"/>
    <cellStyle name="Обычный 3 5" xfId="22"/>
    <cellStyle name="Обычный 3 6" xfId="29"/>
    <cellStyle name="Обычный 3 7" xfId="34"/>
    <cellStyle name="Обычный 3 8" xfId="42"/>
    <cellStyle name="Обычный 3 9" xfId="17"/>
    <cellStyle name="Обычный 4" xfId="4"/>
    <cellStyle name="Обычный 4 2" xfId="13"/>
    <cellStyle name="Обычный 4 2 2" xfId="40"/>
    <cellStyle name="Обычный 4 2 3" xfId="23"/>
    <cellStyle name="Обычный 4 3" xfId="30"/>
    <cellStyle name="Обычный 4 4" xfId="35"/>
    <cellStyle name="Обычный 4 5" xfId="43"/>
    <cellStyle name="Обычный 4 6" xfId="18"/>
    <cellStyle name="Обычный 5" xfId="5"/>
    <cellStyle name="Обычный 5 2" xfId="14"/>
    <cellStyle name="Обычный 5 2 2" xfId="24"/>
    <cellStyle name="Обычный 5 3" xfId="31"/>
    <cellStyle name="Обычный 5 4" xfId="27"/>
    <cellStyle name="Обычный 5 4 2" xfId="32"/>
    <cellStyle name="Обычный 5 4 3" xfId="45"/>
    <cellStyle name="Обычный 5 5" xfId="36"/>
    <cellStyle name="Обычный 5 6" xfId="44"/>
    <cellStyle name="Обычный 5 7" xfId="19"/>
    <cellStyle name="Обычный 6" xfId="9"/>
    <cellStyle name="Финансовый 2" xfId="6"/>
    <cellStyle name="Финансовый 2 2" xfId="15"/>
    <cellStyle name="Финансовый 2 2 2" xfId="25"/>
    <cellStyle name="Финансовый 2 3" xfId="37"/>
    <cellStyle name="Финансовый 2 4" xfId="20"/>
    <cellStyle name="Финансовый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5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3" t="s">
        <v>174</v>
      </c>
      <c r="B2" s="173"/>
      <c r="C2" s="173"/>
      <c r="D2" s="173"/>
      <c r="E2" s="173"/>
      <c r="F2" s="173"/>
      <c r="G2" s="173"/>
      <c r="H2" s="173"/>
      <c r="I2" s="173"/>
      <c r="J2" s="17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7" t="s">
        <v>2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0</v>
      </c>
      <c r="K8" s="109"/>
      <c r="L8" s="174"/>
      <c r="M8" s="109"/>
      <c r="N8" s="109"/>
      <c r="O8" s="71" t="s">
        <v>81</v>
      </c>
      <c r="R8" s="16"/>
    </row>
    <row r="9" spans="1:18" ht="18.75" customHeight="1" outlineLevel="1">
      <c r="A9" s="167" t="s">
        <v>3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09"/>
      <c r="L9" s="174"/>
      <c r="M9" s="109"/>
      <c r="N9" s="109"/>
      <c r="O9" s="71" t="s">
        <v>82</v>
      </c>
    </row>
    <row r="10" spans="1:18" ht="18.75" customHeight="1" outlineLevel="1">
      <c r="A10" s="167" t="s">
        <v>4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102324.98</v>
      </c>
      <c r="K10" s="109"/>
      <c r="L10" s="174"/>
      <c r="M10" s="109"/>
      <c r="N10" s="109"/>
      <c r="O10" s="71" t="s">
        <v>83</v>
      </c>
    </row>
    <row r="11" spans="1:18" outlineLevel="1">
      <c r="A11" s="167" t="s">
        <v>5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271713.27</v>
      </c>
      <c r="K11" s="109"/>
      <c r="L11" s="174"/>
      <c r="M11" s="109"/>
      <c r="N11" s="109"/>
      <c r="O11" s="71" t="s">
        <v>84</v>
      </c>
    </row>
    <row r="12" spans="1:18" ht="18.75" customHeight="1" outlineLevel="1">
      <c r="A12" s="167" t="s">
        <v>6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128167.08</v>
      </c>
      <c r="K12" s="109"/>
      <c r="L12" s="174"/>
      <c r="M12" s="109"/>
      <c r="N12" s="109"/>
      <c r="O12" s="71" t="s">
        <v>85</v>
      </c>
    </row>
    <row r="13" spans="1:18" ht="18.75" customHeight="1" outlineLevel="1">
      <c r="A13" s="167" t="s">
        <v>7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74490.600000000006</v>
      </c>
      <c r="K13" s="109"/>
      <c r="L13" s="174"/>
      <c r="M13" s="109"/>
      <c r="N13" s="109"/>
      <c r="O13" s="71" t="s">
        <v>86</v>
      </c>
    </row>
    <row r="14" spans="1:18" ht="18.75" customHeight="1" outlineLevel="1">
      <c r="A14" s="167" t="s">
        <v>8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69055.59</v>
      </c>
      <c r="K14" s="109"/>
      <c r="L14" s="174"/>
      <c r="M14" s="109"/>
      <c r="N14" s="109"/>
      <c r="O14" s="71" t="s">
        <v>87</v>
      </c>
    </row>
    <row r="15" spans="1:18" ht="18.75" customHeight="1" outlineLevel="1">
      <c r="A15" s="167" t="s">
        <v>9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287212.94</v>
      </c>
      <c r="K15" s="109"/>
      <c r="L15" s="174"/>
      <c r="M15" s="109"/>
      <c r="N15" s="109"/>
      <c r="O15" s="71" t="s">
        <v>88</v>
      </c>
    </row>
    <row r="16" spans="1:18" ht="18.75" customHeight="1" outlineLevel="1">
      <c r="A16" s="167" t="s">
        <v>10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287212.94</v>
      </c>
      <c r="K16" s="109"/>
      <c r="L16" s="174"/>
      <c r="M16" s="109"/>
      <c r="N16" s="109"/>
      <c r="O16" s="71" t="s">
        <v>89</v>
      </c>
    </row>
    <row r="17" spans="1:23" ht="18.75" customHeight="1" outlineLevel="1">
      <c r="A17" s="167" t="s">
        <v>11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09"/>
      <c r="L17" s="174"/>
      <c r="M17" s="109"/>
      <c r="N17" s="109"/>
      <c r="O17" s="71" t="s">
        <v>90</v>
      </c>
    </row>
    <row r="18" spans="1:23" ht="18.75" customHeight="1" outlineLevel="1">
      <c r="A18" s="167" t="s">
        <v>12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09"/>
      <c r="L18" s="174"/>
      <c r="M18" s="109"/>
      <c r="N18" s="109"/>
      <c r="O18" s="71" t="s">
        <v>91</v>
      </c>
    </row>
    <row r="19" spans="1:23" ht="18.75" customHeight="1" outlineLevel="1">
      <c r="A19" s="167" t="s">
        <v>13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09"/>
      <c r="L19" s="174"/>
      <c r="M19" s="109"/>
      <c r="N19" s="109"/>
      <c r="O19" s="71" t="s">
        <v>92</v>
      </c>
    </row>
    <row r="20" spans="1:23" ht="18.75" customHeight="1" outlineLevel="1">
      <c r="A20" s="167" t="s">
        <v>14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09"/>
      <c r="L20" s="174"/>
      <c r="M20" s="109"/>
      <c r="N20" s="109"/>
      <c r="O20" s="71" t="s">
        <v>93</v>
      </c>
    </row>
    <row r="21" spans="1:23" ht="18.75" customHeight="1" outlineLevel="1">
      <c r="A21" s="167" t="s">
        <v>15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287212.94</v>
      </c>
      <c r="K21" s="109"/>
      <c r="L21" s="174"/>
      <c r="M21" s="109"/>
      <c r="N21" s="109"/>
      <c r="O21" s="71" t="s">
        <v>94</v>
      </c>
    </row>
    <row r="22" spans="1:23" ht="18.75" customHeight="1" outlineLevel="1">
      <c r="A22" s="167" t="s">
        <v>16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0</v>
      </c>
      <c r="K22" s="109"/>
      <c r="L22" s="174"/>
      <c r="M22" s="109"/>
      <c r="N22" s="109"/>
      <c r="O22" s="71" t="s">
        <v>95</v>
      </c>
    </row>
    <row r="23" spans="1:23" ht="18.75" customHeight="1" outlineLevel="1">
      <c r="A23" s="167" t="s">
        <v>17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09"/>
      <c r="L23" s="174"/>
      <c r="M23" s="109"/>
      <c r="N23" s="109"/>
      <c r="O23" s="71" t="s">
        <v>96</v>
      </c>
    </row>
    <row r="24" spans="1:23" ht="18.75" customHeight="1" outlineLevel="1">
      <c r="A24" s="167" t="s">
        <v>18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86825.31</v>
      </c>
      <c r="K24" s="109"/>
      <c r="L24" s="174"/>
      <c r="M24" s="109"/>
      <c r="N24" s="109"/>
      <c r="O24" s="71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6" t="s">
        <v>19</v>
      </c>
      <c r="B27" s="166"/>
      <c r="C27" s="166"/>
      <c r="D27" s="166"/>
      <c r="E27" s="166"/>
      <c r="F27" s="166" t="s">
        <v>20</v>
      </c>
      <c r="G27" s="166"/>
      <c r="H27" s="5" t="s">
        <v>57</v>
      </c>
      <c r="I27" s="166" t="s">
        <v>21</v>
      </c>
      <c r="J27" s="166"/>
      <c r="K27" s="109"/>
      <c r="L27" s="17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63">
        <f>VLOOKUP(A28,ПТО!$A$39:$D$53,2,FALSE)</f>
        <v>45377.760000000002</v>
      </c>
      <c r="G28" s="163"/>
      <c r="H28" s="6" t="str">
        <f>VLOOKUP(A28,ПТО!$A$39:$D$53,3,FALSE)</f>
        <v>Ежемесячно</v>
      </c>
      <c r="I28" s="159">
        <f>VLOOKUP(A28,ПТО!$A$39:$D$53,4,FALSE)</f>
        <v>12</v>
      </c>
      <c r="J28" s="159"/>
      <c r="K28" s="109"/>
      <c r="L28" s="17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8">
        <f>ПТО!A40</f>
        <v>0</v>
      </c>
      <c r="B29" s="158"/>
      <c r="C29" s="158"/>
      <c r="D29" s="158"/>
      <c r="E29" s="158"/>
      <c r="F29" s="163" t="e">
        <f>VLOOKUP(A29,ПТО!$A$39:$D$53,2,FALSE)</f>
        <v>#N/A</v>
      </c>
      <c r="G29" s="163"/>
      <c r="H29" s="42" t="e">
        <f>VLOOKUP(A29,ПТО!$A$39:$D$53,3,FALSE)</f>
        <v>#N/A</v>
      </c>
      <c r="I29" s="159" t="e">
        <f>VLOOKUP(A29,ПТО!$A$39:$D$53,4,FALSE)</f>
        <v>#N/A</v>
      </c>
      <c r="J29" s="159"/>
      <c r="K29" s="109"/>
      <c r="L29" s="175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63">
        <f>VLOOKUP(A30,ПТО!$A$39:$D$53,2,FALSE)</f>
        <v>29249.52</v>
      </c>
      <c r="G30" s="163"/>
      <c r="H30" s="42" t="str">
        <f>VLOOKUP(A30,ПТО!$A$39:$D$53,3,FALSE)</f>
        <v>В соответствии с графиком</v>
      </c>
      <c r="I30" s="159">
        <f>VLOOKUP(A30,ПТО!$A$39:$D$53,4,FALSE)</f>
        <v>12</v>
      </c>
      <c r="J30" s="159"/>
      <c r="K30" s="109"/>
      <c r="L30" s="17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63">
        <f>VLOOKUP(A31,ПТО!$A$39:$D$53,2,FALSE)</f>
        <v>16401.599999999999</v>
      </c>
      <c r="G31" s="163"/>
      <c r="H31" s="42" t="str">
        <f>VLOOKUP(A31,ПТО!$A$39:$D$53,3,FALSE)</f>
        <v>Ежемесячно</v>
      </c>
      <c r="I31" s="159">
        <f>VLOOKUP(A31,ПТО!$A$39:$D$53,4,FALSE)</f>
        <v>12</v>
      </c>
      <c r="J31" s="159"/>
      <c r="K31" s="109"/>
      <c r="L31" s="17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63" t="e">
        <f>VLOOKUP(A32,ПТО!$A$39:$D$53,2,FALSE)</f>
        <v>#N/A</v>
      </c>
      <c r="G32" s="163"/>
      <c r="H32" s="42" t="e">
        <f>VLOOKUP(A32,ПТО!$A$39:$D$53,3,FALSE)</f>
        <v>#N/A</v>
      </c>
      <c r="I32" s="159" t="e">
        <f>VLOOKUP(A32,ПТО!$A$39:$D$53,4,FALSE)</f>
        <v>#N/A</v>
      </c>
      <c r="J32" s="159"/>
      <c r="K32" s="109"/>
      <c r="L32" s="17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63">
        <f>VLOOKUP(A33,ПТО!$A$39:$D$53,2,FALSE)</f>
        <v>6970.68</v>
      </c>
      <c r="G33" s="163"/>
      <c r="H33" s="42" t="str">
        <f>VLOOKUP(A33,ПТО!$A$39:$D$53,3,FALSE)</f>
        <v>Круглосуточно</v>
      </c>
      <c r="I33" s="159">
        <f>VLOOKUP(A33,ПТО!$A$39:$D$53,4,FALSE)</f>
        <v>12</v>
      </c>
      <c r="J33" s="159"/>
      <c r="K33" s="109"/>
      <c r="L33" s="17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63">
        <f>VLOOKUP(A34,ПТО!$A$39:$D$53,2,FALSE)</f>
        <v>28839.48</v>
      </c>
      <c r="G34" s="163"/>
      <c r="H34" s="42" t="str">
        <f>VLOOKUP(A34,ПТО!$A$39:$D$53,3,FALSE)</f>
        <v>В соответствии с графиком</v>
      </c>
      <c r="I34" s="159">
        <f>VLOOKUP(A34,ПТО!$A$39:$D$53,4,FALSE)</f>
        <v>12</v>
      </c>
      <c r="J34" s="159"/>
      <c r="K34" s="109"/>
      <c r="L34" s="17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8" t="str">
        <f>ПТО!A46</f>
        <v>Коммунальные ресурсы на содержание общего имущества</v>
      </c>
      <c r="B35" s="158"/>
      <c r="C35" s="158"/>
      <c r="D35" s="158"/>
      <c r="E35" s="158"/>
      <c r="F35" s="163">
        <f>VLOOKUP(A35,ПТО!$A$39:$D$53,2,FALSE)</f>
        <v>25033.43475</v>
      </c>
      <c r="G35" s="163"/>
      <c r="H35" s="42" t="str">
        <f>VLOOKUP(A35,ПТО!$A$39:$D$53,3,FALSE)</f>
        <v>Ежемесячно</v>
      </c>
      <c r="I35" s="159">
        <f>VLOOKUP(A35,ПТО!$A$39:$D$53,4,FALSE)</f>
        <v>12</v>
      </c>
      <c r="J35" s="159"/>
      <c r="K35" s="109"/>
      <c r="L35" s="175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8">
        <f>ПТО!A47</f>
        <v>0</v>
      </c>
      <c r="B36" s="158"/>
      <c r="C36" s="158"/>
      <c r="D36" s="158"/>
      <c r="E36" s="158"/>
      <c r="F36" s="163" t="e">
        <f>VLOOKUP(A36,ПТО!$A$39:$D$53,2,FALSE)</f>
        <v>#N/A</v>
      </c>
      <c r="G36" s="163"/>
      <c r="H36" s="42" t="e">
        <f>VLOOKUP(A36,ПТО!$A$39:$D$53,3,FALSE)</f>
        <v>#N/A</v>
      </c>
      <c r="I36" s="159" t="e">
        <f>VLOOKUP(A36,ПТО!$A$39:$D$53,4,FALSE)</f>
        <v>#N/A</v>
      </c>
      <c r="J36" s="159"/>
      <c r="K36" s="109"/>
      <c r="L36" s="175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8">
        <f>ПТО!A48</f>
        <v>0</v>
      </c>
      <c r="B37" s="158"/>
      <c r="C37" s="158"/>
      <c r="D37" s="158"/>
      <c r="E37" s="158"/>
      <c r="F37" s="163" t="e">
        <f>VLOOKUP(A37,ПТО!$A$39:$D$53,2,FALSE)</f>
        <v>#N/A</v>
      </c>
      <c r="G37" s="163"/>
      <c r="H37" s="42" t="e">
        <f>VLOOKUP(A37,ПТО!$A$39:$D$53,3,FALSE)</f>
        <v>#N/A</v>
      </c>
      <c r="I37" s="159" t="e">
        <f>VLOOKUP(A37,ПТО!$A$39:$D$53,4,FALSE)</f>
        <v>#N/A</v>
      </c>
      <c r="J37" s="159"/>
      <c r="K37" s="109"/>
      <c r="L37" s="175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63" t="e">
        <f>VLOOKUP(A38,ПТО!$A$39:$D$53,2,FALSE)</f>
        <v>#N/A</v>
      </c>
      <c r="G38" s="163"/>
      <c r="H38" s="42" t="e">
        <f>VLOOKUP(A38,ПТО!$A$39:$D$53,3,FALSE)</f>
        <v>#N/A</v>
      </c>
      <c r="I38" s="159" t="e">
        <f>VLOOKUP(A38,ПТО!$A$39:$D$53,4,FALSE)</f>
        <v>#N/A</v>
      </c>
      <c r="J38" s="159"/>
      <c r="K38" s="109"/>
      <c r="L38" s="175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63" t="e">
        <f>VLOOKUP(A39,ПТО!$A$39:$D$53,2,FALSE)</f>
        <v>#N/A</v>
      </c>
      <c r="G39" s="163"/>
      <c r="H39" s="42" t="e">
        <f>VLOOKUP(A39,ПТО!$A$39:$D$53,3,FALSE)</f>
        <v>#N/A</v>
      </c>
      <c r="I39" s="159" t="e">
        <f>VLOOKUP(A39,ПТО!$A$39:$D$53,4,FALSE)</f>
        <v>#N/A</v>
      </c>
      <c r="J39" s="159"/>
      <c r="K39" s="109"/>
      <c r="L39" s="175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63" t="e">
        <f>VLOOKUP(A40,ПТО!$A$39:$D$53,2,FALSE)</f>
        <v>#N/A</v>
      </c>
      <c r="G40" s="163"/>
      <c r="H40" s="42" t="e">
        <f>VLOOKUP(A40,ПТО!$A$39:$D$53,3,FALSE)</f>
        <v>#N/A</v>
      </c>
      <c r="I40" s="159" t="e">
        <f>VLOOKUP(A40,ПТО!$A$39:$D$53,4,FALSE)</f>
        <v>#N/A</v>
      </c>
      <c r="J40" s="159"/>
      <c r="K40" s="109"/>
      <c r="L40" s="175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63" t="e">
        <f>VLOOKUP(A41,ПТО!$A$39:$D$53,2,FALSE)</f>
        <v>#N/A</v>
      </c>
      <c r="G41" s="163"/>
      <c r="H41" s="42" t="e">
        <f>VLOOKUP(A41,ПТО!$A$39:$D$53,3,FALSE)</f>
        <v>#N/A</v>
      </c>
      <c r="I41" s="159" t="e">
        <f>VLOOKUP(A41,ПТО!$A$39:$D$53,4,FALSE)</f>
        <v>#N/A</v>
      </c>
      <c r="J41" s="159"/>
      <c r="K41" s="109"/>
      <c r="L41" s="175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63" t="e">
        <f>VLOOKUP(A42,ПТО!$A$39:$D$53,2,FALSE)</f>
        <v>#N/A</v>
      </c>
      <c r="G42" s="163"/>
      <c r="H42" s="42" t="e">
        <f>VLOOKUP(A42,ПТО!$A$39:$D$53,3,FALSE)</f>
        <v>#N/A</v>
      </c>
      <c r="I42" s="159" t="e">
        <f>VLOOKUP(A42,ПТО!$A$39:$D$53,4,FALSE)</f>
        <v>#N/A</v>
      </c>
      <c r="J42" s="159"/>
      <c r="K42" s="109"/>
      <c r="L42" s="175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8" t="str">
        <f>ПТО!A2</f>
        <v>Техническое обслуживание охранной сигнализации.</v>
      </c>
      <c r="B43" s="158"/>
      <c r="C43" s="158"/>
      <c r="D43" s="158"/>
      <c r="E43" s="158"/>
      <c r="F43" s="163">
        <f>VLOOKUP(A43,ПТО!$A$2:$D$31,4,FALSE)</f>
        <v>5400</v>
      </c>
      <c r="G43" s="163"/>
      <c r="H43" s="19" t="str">
        <f>VLOOKUP(A43,ПТО!$A$2:$D$31,2,FALSE)</f>
        <v>ежемесячно</v>
      </c>
      <c r="I43" s="159">
        <f>VLOOKUP(A43,ПТО!$A$2:$D$31,3,FALSE)</f>
        <v>12</v>
      </c>
      <c r="J43" s="159"/>
      <c r="K43" s="109"/>
      <c r="L43" s="175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8" t="str">
        <f>ПТО!A3</f>
        <v>Замена аккумулятора охранной сигнализации.</v>
      </c>
      <c r="B44" s="158"/>
      <c r="C44" s="158"/>
      <c r="D44" s="158"/>
      <c r="E44" s="158"/>
      <c r="F44" s="163">
        <f>VLOOKUP(A44,ПТО!$A$2:$D$31,4,FALSE)</f>
        <v>300</v>
      </c>
      <c r="G44" s="163"/>
      <c r="H44" s="25" t="str">
        <f>VLOOKUP(A44,ПТО!$A$2:$D$31,2,FALSE)</f>
        <v>разово</v>
      </c>
      <c r="I44" s="159">
        <f>VLOOKUP(A44,ПТО!$A$2:$D$31,3,FALSE)</f>
        <v>1</v>
      </c>
      <c r="J44" s="159"/>
      <c r="K44" s="109"/>
      <c r="L44" s="175"/>
      <c r="M44" s="116"/>
      <c r="N44" s="109"/>
      <c r="O44" s="23" t="str">
        <f t="shared" si="1"/>
        <v>Замена аккумулятора охранной сигнализации.</v>
      </c>
      <c r="R44" s="22" t="s">
        <v>72</v>
      </c>
    </row>
    <row r="45" spans="1:18" ht="51" customHeight="1" outlineLevel="1">
      <c r="A45" s="158" t="str">
        <f>ПТО!A4</f>
        <v>Установка профлиста на вентиляционную шахту, герметизация стыков жидкой резиной (кв.29).</v>
      </c>
      <c r="B45" s="158"/>
      <c r="C45" s="158"/>
      <c r="D45" s="158"/>
      <c r="E45" s="158"/>
      <c r="F45" s="163">
        <f>VLOOKUP(A45,ПТО!$A$2:$D$31,4,FALSE)</f>
        <v>7701.5</v>
      </c>
      <c r="G45" s="163"/>
      <c r="H45" s="25" t="str">
        <f>VLOOKUP(A45,ПТО!$A$2:$D$31,2,FALSE)</f>
        <v>разово</v>
      </c>
      <c r="I45" s="159">
        <f>VLOOKUP(A45,ПТО!$A$2:$D$31,3,FALSE)</f>
        <v>1</v>
      </c>
      <c r="J45" s="159"/>
      <c r="K45" s="109"/>
      <c r="L45" s="175"/>
      <c r="M45" s="116"/>
      <c r="N45" s="109"/>
      <c r="O45" s="23" t="str">
        <f t="shared" si="1"/>
        <v>Установка профлиста на вентиляционную шахту, герметизация стыков жидкой резиной (кв.29).</v>
      </c>
      <c r="R45" s="22" t="s">
        <v>72</v>
      </c>
    </row>
    <row r="46" spans="1:18" ht="51" customHeight="1" outlineLevel="1">
      <c r="A46" s="158" t="str">
        <f>ПТО!A5</f>
        <v>Аварийный ремонт теплообменника ГВС (замена уплотнительных прокладок).</v>
      </c>
      <c r="B46" s="158"/>
      <c r="C46" s="158"/>
      <c r="D46" s="158"/>
      <c r="E46" s="158"/>
      <c r="F46" s="163">
        <f>VLOOKUP(A46,ПТО!$A$2:$D$31,4,FALSE)</f>
        <v>7042.18</v>
      </c>
      <c r="G46" s="163"/>
      <c r="H46" s="25" t="str">
        <f>VLOOKUP(A46,ПТО!$A$2:$D$31,2,FALSE)</f>
        <v>разово</v>
      </c>
      <c r="I46" s="159">
        <f>VLOOKUP(A46,ПТО!$A$2:$D$31,3,FALSE)</f>
        <v>1</v>
      </c>
      <c r="J46" s="159"/>
      <c r="K46" s="109"/>
      <c r="L46" s="175"/>
      <c r="M46" s="116"/>
      <c r="N46" s="109"/>
      <c r="O46" s="23" t="str">
        <f t="shared" si="1"/>
        <v>Аварийный ремонт теплообменника ГВС (замена уплотнительных прокладок).</v>
      </c>
      <c r="R46" s="22" t="s">
        <v>72</v>
      </c>
    </row>
    <row r="47" spans="1:18" ht="51" customHeight="1" outlineLevel="1">
      <c r="A47" s="158" t="str">
        <f>ПТО!A6</f>
        <v>Приобретение и установка информационного стенда на детскую площадку.</v>
      </c>
      <c r="B47" s="158"/>
      <c r="C47" s="158"/>
      <c r="D47" s="158"/>
      <c r="E47" s="158"/>
      <c r="F47" s="163">
        <f>VLOOKUP(A47,ПТО!$A$2:$D$31,4,FALSE)</f>
        <v>542.4</v>
      </c>
      <c r="G47" s="163"/>
      <c r="H47" s="25" t="str">
        <f>VLOOKUP(A47,ПТО!$A$2:$D$31,2,FALSE)</f>
        <v>разово</v>
      </c>
      <c r="I47" s="159">
        <f>VLOOKUP(A47,ПТО!$A$2:$D$31,3,FALSE)</f>
        <v>1</v>
      </c>
      <c r="J47" s="159"/>
      <c r="K47" s="109"/>
      <c r="L47" s="175"/>
      <c r="M47" s="116"/>
      <c r="N47" s="109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customHeight="1" outlineLevel="1">
      <c r="A48" s="158" t="str">
        <f>ПТО!A7</f>
        <v>Перерасчет по итогам 2021 года.</v>
      </c>
      <c r="B48" s="158"/>
      <c r="C48" s="158"/>
      <c r="D48" s="158"/>
      <c r="E48" s="158"/>
      <c r="F48" s="163">
        <f>VLOOKUP(A48,ПТО!$A$2:$D$31,4,FALSE)</f>
        <v>62178.85</v>
      </c>
      <c r="G48" s="163"/>
      <c r="H48" s="25" t="str">
        <f>VLOOKUP(A48,ПТО!$A$2:$D$31,2,FALSE)</f>
        <v>разово</v>
      </c>
      <c r="I48" s="159">
        <f>VLOOKUP(A48,ПТО!$A$2:$D$31,3,FALSE)</f>
        <v>1</v>
      </c>
      <c r="J48" s="159"/>
      <c r="K48" s="109"/>
      <c r="L48" s="175"/>
      <c r="M48" s="116"/>
      <c r="N48" s="109"/>
      <c r="O48" s="23" t="str">
        <f t="shared" si="1"/>
        <v>Перерасчет по итогам 2021 года.</v>
      </c>
      <c r="R48" s="22" t="s">
        <v>72</v>
      </c>
    </row>
    <row r="49" spans="1:18" ht="51" hidden="1" customHeight="1" outlineLevel="1">
      <c r="A49" s="158">
        <f>ПТО!A8</f>
        <v>0</v>
      </c>
      <c r="B49" s="158"/>
      <c r="C49" s="158"/>
      <c r="D49" s="158"/>
      <c r="E49" s="158"/>
      <c r="F49" s="163" t="e">
        <f>VLOOKUP(A49,ПТО!$A$2:$D$31,4,FALSE)</f>
        <v>#N/A</v>
      </c>
      <c r="G49" s="163"/>
      <c r="H49" s="25" t="e">
        <f>VLOOKUP(A49,ПТО!$A$2:$D$31,2,FALSE)</f>
        <v>#N/A</v>
      </c>
      <c r="I49" s="159" t="e">
        <f>VLOOKUP(A49,ПТО!$A$2:$D$31,3,FALSE)</f>
        <v>#N/A</v>
      </c>
      <c r="J49" s="159"/>
      <c r="K49" s="109"/>
      <c r="L49" s="175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58">
        <f>ПТО!A9</f>
        <v>0</v>
      </c>
      <c r="B50" s="158"/>
      <c r="C50" s="158"/>
      <c r="D50" s="158"/>
      <c r="E50" s="158"/>
      <c r="F50" s="163" t="e">
        <f>VLOOKUP(A50,ПТО!$A$2:$D$31,4,FALSE)</f>
        <v>#N/A</v>
      </c>
      <c r="G50" s="163"/>
      <c r="H50" s="25" t="e">
        <f>VLOOKUP(A50,ПТО!$A$2:$D$31,2,FALSE)</f>
        <v>#N/A</v>
      </c>
      <c r="I50" s="159" t="e">
        <f>VLOOKUP(A50,ПТО!$A$2:$D$31,3,FALSE)</f>
        <v>#N/A</v>
      </c>
      <c r="J50" s="159"/>
      <c r="K50" s="109"/>
      <c r="L50" s="175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58">
        <f>ПТО!A10</f>
        <v>0</v>
      </c>
      <c r="B51" s="158"/>
      <c r="C51" s="158"/>
      <c r="D51" s="158"/>
      <c r="E51" s="158"/>
      <c r="F51" s="163" t="e">
        <f>VLOOKUP(A51,ПТО!$A$2:$D$31,4,FALSE)</f>
        <v>#N/A</v>
      </c>
      <c r="G51" s="163"/>
      <c r="H51" s="25" t="e">
        <f>VLOOKUP(A51,ПТО!$A$2:$D$31,2,FALSE)</f>
        <v>#N/A</v>
      </c>
      <c r="I51" s="159" t="e">
        <f>VLOOKUP(A51,ПТО!$A$2:$D$31,3,FALSE)</f>
        <v>#N/A</v>
      </c>
      <c r="J51" s="159"/>
      <c r="K51" s="109"/>
      <c r="L51" s="175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8">
        <f>ПТО!A11</f>
        <v>0</v>
      </c>
      <c r="B52" s="158"/>
      <c r="C52" s="158"/>
      <c r="D52" s="158"/>
      <c r="E52" s="158"/>
      <c r="F52" s="163" t="e">
        <f>VLOOKUP(A52,ПТО!$A$2:$D$31,4,FALSE)</f>
        <v>#N/A</v>
      </c>
      <c r="G52" s="163"/>
      <c r="H52" s="25" t="e">
        <f>VLOOKUP(A52,ПТО!$A$2:$D$31,2,FALSE)</f>
        <v>#N/A</v>
      </c>
      <c r="I52" s="159" t="e">
        <f>VLOOKUP(A52,ПТО!$A$2:$D$31,3,FALSE)</f>
        <v>#N/A</v>
      </c>
      <c r="J52" s="159"/>
      <c r="K52" s="109"/>
      <c r="L52" s="175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8">
        <f>ПТО!A12</f>
        <v>0</v>
      </c>
      <c r="B53" s="158"/>
      <c r="C53" s="158"/>
      <c r="D53" s="158"/>
      <c r="E53" s="158"/>
      <c r="F53" s="163" t="e">
        <f>VLOOKUP(A53,ПТО!$A$2:$D$31,4,FALSE)</f>
        <v>#N/A</v>
      </c>
      <c r="G53" s="163"/>
      <c r="H53" s="25" t="e">
        <f>VLOOKUP(A53,ПТО!$A$2:$D$31,2,FALSE)</f>
        <v>#N/A</v>
      </c>
      <c r="I53" s="159" t="e">
        <f>VLOOKUP(A53,ПТО!$A$2:$D$31,3,FALSE)</f>
        <v>#N/A</v>
      </c>
      <c r="J53" s="159"/>
      <c r="K53" s="109"/>
      <c r="L53" s="175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63" t="e">
        <f>VLOOKUP(A54,ПТО!$A$2:$D$31,4,FALSE)</f>
        <v>#N/A</v>
      </c>
      <c r="G54" s="163"/>
      <c r="H54" s="25" t="e">
        <f>VLOOKUP(A54,ПТО!$A$2:$D$31,2,FALSE)</f>
        <v>#N/A</v>
      </c>
      <c r="I54" s="159" t="e">
        <f>VLOOKUP(A54,ПТО!$A$2:$D$31,3,FALSE)</f>
        <v>#N/A</v>
      </c>
      <c r="J54" s="159"/>
      <c r="K54" s="109"/>
      <c r="L54" s="175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63" t="e">
        <f>VLOOKUP(A55,ПТО!$A$2:$D$31,4,FALSE)</f>
        <v>#N/A</v>
      </c>
      <c r="G55" s="163"/>
      <c r="H55" s="25" t="e">
        <f>VLOOKUP(A55,ПТО!$A$2:$D$31,2,FALSE)</f>
        <v>#N/A</v>
      </c>
      <c r="I55" s="159" t="e">
        <f>VLOOKUP(A55,ПТО!$A$2:$D$31,3,FALSE)</f>
        <v>#N/A</v>
      </c>
      <c r="J55" s="159"/>
      <c r="K55" s="109"/>
      <c r="L55" s="175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63" t="e">
        <f>VLOOKUP(A56,ПТО!$A$2:$D$31,4,FALSE)</f>
        <v>#N/A</v>
      </c>
      <c r="G56" s="163"/>
      <c r="H56" s="25" t="e">
        <f>VLOOKUP(A56,ПТО!$A$2:$D$31,2,FALSE)</f>
        <v>#N/A</v>
      </c>
      <c r="I56" s="159" t="e">
        <f>VLOOKUP(A56,ПТО!$A$2:$D$31,3,FALSE)</f>
        <v>#N/A</v>
      </c>
      <c r="J56" s="159"/>
      <c r="K56" s="109"/>
      <c r="L56" s="175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63" t="e">
        <f>VLOOKUP(A57,ПТО!$A$2:$D$31,4,FALSE)</f>
        <v>#N/A</v>
      </c>
      <c r="G57" s="163"/>
      <c r="H57" s="25" t="e">
        <f>VLOOKUP(A57,ПТО!$A$2:$D$31,2,FALSE)</f>
        <v>#N/A</v>
      </c>
      <c r="I57" s="159" t="e">
        <f>VLOOKUP(A57,ПТО!$A$2:$D$31,3,FALSE)</f>
        <v>#N/A</v>
      </c>
      <c r="J57" s="159"/>
      <c r="K57" s="109"/>
      <c r="L57" s="175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63" t="e">
        <f>VLOOKUP(A58,ПТО!$A$2:$D$31,4,FALSE)</f>
        <v>#N/A</v>
      </c>
      <c r="G58" s="163"/>
      <c r="H58" s="25" t="e">
        <f>VLOOKUP(A58,ПТО!$A$2:$D$31,2,FALSE)</f>
        <v>#N/A</v>
      </c>
      <c r="I58" s="159" t="e">
        <f>VLOOKUP(A58,ПТО!$A$2:$D$31,3,FALSE)</f>
        <v>#N/A</v>
      </c>
      <c r="J58" s="159"/>
      <c r="K58" s="109"/>
      <c r="L58" s="175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63" t="e">
        <f>VLOOKUP(A59,ПТО!$A$2:$D$31,4,FALSE)</f>
        <v>#N/A</v>
      </c>
      <c r="G59" s="163"/>
      <c r="H59" s="25" t="e">
        <f>VLOOKUP(A59,ПТО!$A$2:$D$31,2,FALSE)</f>
        <v>#N/A</v>
      </c>
      <c r="I59" s="159" t="e">
        <f>VLOOKUP(A59,ПТО!$A$2:$D$31,3,FALSE)</f>
        <v>#N/A</v>
      </c>
      <c r="J59" s="159"/>
      <c r="K59" s="109"/>
      <c r="L59" s="175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63" t="e">
        <f>VLOOKUP(A60,ПТО!$A$2:$D$31,4,FALSE)</f>
        <v>#N/A</v>
      </c>
      <c r="G60" s="163"/>
      <c r="H60" s="25" t="e">
        <f>VLOOKUP(A60,ПТО!$A$2:$D$31,2,FALSE)</f>
        <v>#N/A</v>
      </c>
      <c r="I60" s="159" t="e">
        <f>VLOOKUP(A60,ПТО!$A$2:$D$31,3,FALSE)</f>
        <v>#N/A</v>
      </c>
      <c r="J60" s="159"/>
      <c r="K60" s="109"/>
      <c r="L60" s="175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63" t="e">
        <f>VLOOKUP(A61,ПТО!$A$2:$D$31,4,FALSE)</f>
        <v>#N/A</v>
      </c>
      <c r="G61" s="163"/>
      <c r="H61" s="25" t="e">
        <f>VLOOKUP(A61,ПТО!$A$2:$D$31,2,FALSE)</f>
        <v>#N/A</v>
      </c>
      <c r="I61" s="159" t="e">
        <f>VLOOKUP(A61,ПТО!$A$2:$D$31,3,FALSE)</f>
        <v>#N/A</v>
      </c>
      <c r="J61" s="159"/>
      <c r="K61" s="109"/>
      <c r="L61" s="175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63" t="e">
        <f>VLOOKUP(A62,ПТО!$A$2:$D$31,4,FALSE)</f>
        <v>#N/A</v>
      </c>
      <c r="G62" s="163"/>
      <c r="H62" s="25" t="e">
        <f>VLOOKUP(A62,ПТО!$A$2:$D$31,2,FALSE)</f>
        <v>#N/A</v>
      </c>
      <c r="I62" s="159" t="e">
        <f>VLOOKUP(A62,ПТО!$A$2:$D$31,3,FALSE)</f>
        <v>#N/A</v>
      </c>
      <c r="J62" s="159"/>
      <c r="K62" s="109"/>
      <c r="L62" s="175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63" t="e">
        <f>VLOOKUP(A63,ПТО!$A$2:$D$31,4,FALSE)</f>
        <v>#N/A</v>
      </c>
      <c r="G63" s="163"/>
      <c r="H63" s="25" t="e">
        <f>VLOOKUP(A63,ПТО!$A$2:$D$31,2,FALSE)</f>
        <v>#N/A</v>
      </c>
      <c r="I63" s="159" t="e">
        <f>VLOOKUP(A63,ПТО!$A$2:$D$31,3,FALSE)</f>
        <v>#N/A</v>
      </c>
      <c r="J63" s="159"/>
      <c r="K63" s="109"/>
      <c r="L63" s="175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63" t="e">
        <f>VLOOKUP(A64,ПТО!$A$2:$D$31,4,FALSE)</f>
        <v>#N/A</v>
      </c>
      <c r="G64" s="163"/>
      <c r="H64" s="25" t="e">
        <f>VLOOKUP(A64,ПТО!$A$2:$D$31,2,FALSE)</f>
        <v>#N/A</v>
      </c>
      <c r="I64" s="159" t="e">
        <f>VLOOKUP(A64,ПТО!$A$2:$D$31,3,FALSE)</f>
        <v>#N/A</v>
      </c>
      <c r="J64" s="159"/>
      <c r="K64" s="109"/>
      <c r="L64" s="175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63" t="e">
        <f>VLOOKUP(A65,ПТО!$A$2:$D$31,4,FALSE)</f>
        <v>#N/A</v>
      </c>
      <c r="G65" s="163"/>
      <c r="H65" s="25" t="e">
        <f>VLOOKUP(A65,ПТО!$A$2:$D$31,2,FALSE)</f>
        <v>#N/A</v>
      </c>
      <c r="I65" s="159" t="e">
        <f>VLOOKUP(A65,ПТО!$A$2:$D$31,3,FALSE)</f>
        <v>#N/A</v>
      </c>
      <c r="J65" s="159"/>
      <c r="K65" s="109"/>
      <c r="L65" s="175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63" t="e">
        <f>VLOOKUP(A66,ПТО!$A$2:$D$31,4,FALSE)</f>
        <v>#N/A</v>
      </c>
      <c r="G66" s="163"/>
      <c r="H66" s="25" t="e">
        <f>VLOOKUP(A66,ПТО!$A$2:$D$31,2,FALSE)</f>
        <v>#N/A</v>
      </c>
      <c r="I66" s="159" t="e">
        <f>VLOOKUP(A66,ПТО!$A$2:$D$31,3,FALSE)</f>
        <v>#N/A</v>
      </c>
      <c r="J66" s="159"/>
      <c r="K66" s="109"/>
      <c r="L66" s="175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63" t="e">
        <f>VLOOKUP(A67,ПТО!$A$2:$D$31,4,FALSE)</f>
        <v>#N/A</v>
      </c>
      <c r="G67" s="163"/>
      <c r="H67" s="25" t="e">
        <f>VLOOKUP(A67,ПТО!$A$2:$D$31,2,FALSE)</f>
        <v>#N/A</v>
      </c>
      <c r="I67" s="159" t="e">
        <f>VLOOKUP(A67,ПТО!$A$2:$D$31,3,FALSE)</f>
        <v>#N/A</v>
      </c>
      <c r="J67" s="159"/>
      <c r="K67" s="109"/>
      <c r="L67" s="175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63" t="e">
        <f>VLOOKUP(A68,ПТО!$A$2:$D$31,4,FALSE)</f>
        <v>#N/A</v>
      </c>
      <c r="G68" s="163"/>
      <c r="H68" s="25" t="e">
        <f>VLOOKUP(A68,ПТО!$A$2:$D$31,2,FALSE)</f>
        <v>#N/A</v>
      </c>
      <c r="I68" s="159" t="e">
        <f>VLOOKUP(A68,ПТО!$A$2:$D$31,3,FALSE)</f>
        <v>#N/A</v>
      </c>
      <c r="J68" s="159"/>
      <c r="K68" s="109"/>
      <c r="L68" s="175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63" t="e">
        <f>VLOOKUP(A69,ПТО!$A$2:$D$31,4,FALSE)</f>
        <v>#N/A</v>
      </c>
      <c r="G69" s="163"/>
      <c r="H69" s="25" t="e">
        <f>VLOOKUP(A69,ПТО!$A$2:$D$31,2,FALSE)</f>
        <v>#N/A</v>
      </c>
      <c r="I69" s="159" t="e">
        <f>VLOOKUP(A69,ПТО!$A$2:$D$31,3,FALSE)</f>
        <v>#N/A</v>
      </c>
      <c r="J69" s="159"/>
      <c r="K69" s="109"/>
      <c r="L69" s="175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63" t="e">
        <f>VLOOKUP(A70,ПТО!$A$2:$D$31,4,FALSE)</f>
        <v>#N/A</v>
      </c>
      <c r="G70" s="163"/>
      <c r="H70" s="25" t="e">
        <f>VLOOKUP(A70,ПТО!$A$2:$D$31,2,FALSE)</f>
        <v>#N/A</v>
      </c>
      <c r="I70" s="159" t="e">
        <f>VLOOKUP(A70,ПТО!$A$2:$D$31,3,FALSE)</f>
        <v>#N/A</v>
      </c>
      <c r="J70" s="159"/>
      <c r="K70" s="109"/>
      <c r="L70" s="175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63" t="e">
        <f>VLOOKUP(A71,ПТО!$A$2:$D$31,4,FALSE)</f>
        <v>#N/A</v>
      </c>
      <c r="G71" s="163"/>
      <c r="H71" s="25" t="e">
        <f>VLOOKUP(A71,ПТО!$A$2:$D$31,2,FALSE)</f>
        <v>#N/A</v>
      </c>
      <c r="I71" s="159" t="e">
        <f>VLOOKUP(A71,ПТО!$A$2:$D$31,3,FALSE)</f>
        <v>#N/A</v>
      </c>
      <c r="J71" s="159"/>
      <c r="K71" s="116"/>
      <c r="L71" s="175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63" t="e">
        <f>VLOOKUP(A72,ПТО!$A$2:$D$31,4,FALSE)</f>
        <v>#N/A</v>
      </c>
      <c r="G72" s="163"/>
      <c r="H72" s="25" t="e">
        <f>VLOOKUP(A72,ПТО!$A$2:$D$31,2,FALSE)</f>
        <v>#N/A</v>
      </c>
      <c r="I72" s="159" t="e">
        <f>VLOOKUP(A72,ПТО!$A$2:$D$31,3,FALSE)</f>
        <v>#N/A</v>
      </c>
      <c r="J72" s="159"/>
      <c r="K72" s="109"/>
      <c r="L72" s="175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6" t="s">
        <v>27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09"/>
      <c r="L75" s="178"/>
      <c r="M75" s="109"/>
      <c r="N75" s="109"/>
      <c r="O75" s="71" t="s">
        <v>98</v>
      </c>
    </row>
    <row r="76" spans="1:16384" ht="18.75" customHeight="1" outlineLevel="1">
      <c r="A76" s="176" t="s">
        <v>28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09"/>
      <c r="L76" s="178"/>
      <c r="M76" s="109"/>
      <c r="N76" s="109"/>
      <c r="O76" s="71" t="s">
        <v>99</v>
      </c>
    </row>
    <row r="77" spans="1:16384" ht="21.75" customHeight="1" outlineLevel="1">
      <c r="A77" s="176" t="s">
        <v>29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09"/>
      <c r="L77" s="178"/>
      <c r="M77" s="109"/>
      <c r="N77" s="109"/>
      <c r="O77" s="71" t="s">
        <v>100</v>
      </c>
    </row>
    <row r="78" spans="1:16384" ht="18.75" customHeight="1" outlineLevel="1">
      <c r="A78" s="176" t="s">
        <v>30</v>
      </c>
      <c r="B78" s="176"/>
      <c r="C78" s="176"/>
      <c r="D78" s="176"/>
      <c r="E78" s="176"/>
      <c r="F78" s="176"/>
      <c r="G78" s="176"/>
      <c r="H78" s="176"/>
      <c r="I78" s="176"/>
      <c r="J78" s="98">
        <f>VLOOKUP(O78,АО,3,FALSE)</f>
        <v>0</v>
      </c>
      <c r="K78" s="109"/>
      <c r="L78" s="178"/>
      <c r="M78" s="109"/>
      <c r="N78" s="109"/>
      <c r="O78" s="71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6" t="s">
        <v>2</v>
      </c>
      <c r="B81" s="156"/>
      <c r="C81" s="156"/>
      <c r="D81" s="156"/>
      <c r="E81" s="156"/>
      <c r="F81" s="156"/>
      <c r="G81" s="156"/>
      <c r="H81" s="156"/>
      <c r="I81" s="156"/>
      <c r="J81" s="98">
        <f t="shared" ref="J81:J90" si="2">VLOOKUP(O81,АО,3,FALSE)</f>
        <v>0</v>
      </c>
      <c r="K81" s="109"/>
      <c r="L81" s="164"/>
      <c r="M81" s="109"/>
      <c r="N81" s="109"/>
      <c r="O81" s="71" t="s">
        <v>102</v>
      </c>
    </row>
    <row r="82" spans="1:15" outlineLevel="1">
      <c r="A82" s="156" t="s">
        <v>3</v>
      </c>
      <c r="B82" s="156"/>
      <c r="C82" s="156"/>
      <c r="D82" s="156"/>
      <c r="E82" s="156"/>
      <c r="F82" s="156"/>
      <c r="G82" s="156"/>
      <c r="H82" s="156"/>
      <c r="I82" s="156"/>
      <c r="J82" s="98">
        <f t="shared" si="2"/>
        <v>0</v>
      </c>
      <c r="K82" s="109"/>
      <c r="L82" s="164"/>
      <c r="M82" s="109"/>
      <c r="N82" s="109"/>
      <c r="O82" s="71" t="s">
        <v>103</v>
      </c>
    </row>
    <row r="83" spans="1:15" outlineLevel="1">
      <c r="A83" s="170" t="s">
        <v>4</v>
      </c>
      <c r="B83" s="171"/>
      <c r="C83" s="171"/>
      <c r="D83" s="171"/>
      <c r="E83" s="171"/>
      <c r="F83" s="171"/>
      <c r="G83" s="171"/>
      <c r="H83" s="171"/>
      <c r="I83" s="172"/>
      <c r="J83" s="98">
        <f t="shared" si="2"/>
        <v>376.08</v>
      </c>
      <c r="K83" s="109"/>
      <c r="L83" s="164"/>
      <c r="M83" s="109"/>
      <c r="N83" s="109"/>
      <c r="O83" s="71" t="s">
        <v>104</v>
      </c>
    </row>
    <row r="84" spans="1:15" outlineLevel="1">
      <c r="A84" s="170" t="s">
        <v>16</v>
      </c>
      <c r="B84" s="171"/>
      <c r="C84" s="171"/>
      <c r="D84" s="171"/>
      <c r="E84" s="171"/>
      <c r="F84" s="171"/>
      <c r="G84" s="171"/>
      <c r="H84" s="171"/>
      <c r="I84" s="172"/>
      <c r="J84" s="98">
        <f t="shared" si="2"/>
        <v>0</v>
      </c>
      <c r="K84" s="109"/>
      <c r="L84" s="164"/>
      <c r="M84" s="109"/>
      <c r="N84" s="109"/>
      <c r="O84" s="71" t="s">
        <v>105</v>
      </c>
    </row>
    <row r="85" spans="1:15" outlineLevel="1">
      <c r="A85" s="170" t="s">
        <v>17</v>
      </c>
      <c r="B85" s="171"/>
      <c r="C85" s="171"/>
      <c r="D85" s="171"/>
      <c r="E85" s="171"/>
      <c r="F85" s="171"/>
      <c r="G85" s="171"/>
      <c r="H85" s="171"/>
      <c r="I85" s="172"/>
      <c r="J85" s="98">
        <f t="shared" si="2"/>
        <v>0</v>
      </c>
      <c r="K85" s="109"/>
      <c r="L85" s="164"/>
      <c r="M85" s="109"/>
      <c r="N85" s="109"/>
      <c r="O85" s="71" t="s">
        <v>106</v>
      </c>
    </row>
    <row r="86" spans="1:15" outlineLevel="1">
      <c r="A86" s="170" t="s">
        <v>18</v>
      </c>
      <c r="B86" s="171"/>
      <c r="C86" s="171"/>
      <c r="D86" s="171"/>
      <c r="E86" s="171"/>
      <c r="F86" s="171"/>
      <c r="G86" s="171"/>
      <c r="H86" s="171"/>
      <c r="I86" s="172"/>
      <c r="J86" s="98">
        <f t="shared" si="2"/>
        <v>-586.19000000000005</v>
      </c>
      <c r="K86" s="109"/>
      <c r="L86" s="164"/>
      <c r="M86" s="109"/>
      <c r="N86" s="109"/>
      <c r="O86" s="71" t="s">
        <v>107</v>
      </c>
    </row>
    <row r="87" spans="1:15" ht="18.75" customHeight="1" outlineLevel="1">
      <c r="A87" s="170" t="s">
        <v>27</v>
      </c>
      <c r="B87" s="171"/>
      <c r="C87" s="171"/>
      <c r="D87" s="171"/>
      <c r="E87" s="171"/>
      <c r="F87" s="171"/>
      <c r="G87" s="171"/>
      <c r="H87" s="171"/>
      <c r="I87" s="172"/>
      <c r="J87" s="8">
        <f t="shared" si="2"/>
        <v>0</v>
      </c>
      <c r="K87" s="109"/>
      <c r="L87" s="164"/>
      <c r="M87" s="109"/>
      <c r="N87" s="109"/>
      <c r="O87" s="71" t="s">
        <v>108</v>
      </c>
    </row>
    <row r="88" spans="1:15" ht="18.75" customHeight="1" outlineLevel="1">
      <c r="A88" s="170" t="s">
        <v>28</v>
      </c>
      <c r="B88" s="171"/>
      <c r="C88" s="171"/>
      <c r="D88" s="171"/>
      <c r="E88" s="171"/>
      <c r="F88" s="171"/>
      <c r="G88" s="171"/>
      <c r="H88" s="171"/>
      <c r="I88" s="172"/>
      <c r="J88" s="8">
        <f t="shared" si="2"/>
        <v>0</v>
      </c>
      <c r="K88" s="109"/>
      <c r="L88" s="164"/>
      <c r="M88" s="109"/>
      <c r="N88" s="109"/>
      <c r="O88" s="71" t="s">
        <v>109</v>
      </c>
    </row>
    <row r="89" spans="1:15" ht="18.75" customHeight="1" outlineLevel="1">
      <c r="A89" s="170" t="s">
        <v>29</v>
      </c>
      <c r="B89" s="171"/>
      <c r="C89" s="171"/>
      <c r="D89" s="171"/>
      <c r="E89" s="171"/>
      <c r="F89" s="171"/>
      <c r="G89" s="171"/>
      <c r="H89" s="171"/>
      <c r="I89" s="172"/>
      <c r="J89" s="8">
        <f t="shared" si="2"/>
        <v>0</v>
      </c>
      <c r="K89" s="109"/>
      <c r="L89" s="164"/>
      <c r="M89" s="109"/>
      <c r="N89" s="109"/>
      <c r="O89" s="71" t="s">
        <v>110</v>
      </c>
    </row>
    <row r="90" spans="1:15" ht="18.75" customHeight="1" outlineLevel="1">
      <c r="A90" s="170" t="s">
        <v>30</v>
      </c>
      <c r="B90" s="171"/>
      <c r="C90" s="171"/>
      <c r="D90" s="171"/>
      <c r="E90" s="171"/>
      <c r="F90" s="171"/>
      <c r="G90" s="171"/>
      <c r="H90" s="171"/>
      <c r="I90" s="172"/>
      <c r="J90" s="98">
        <f t="shared" si="2"/>
        <v>0</v>
      </c>
      <c r="K90" s="109"/>
      <c r="L90" s="164"/>
      <c r="M90" s="109"/>
      <c r="N90" s="109"/>
      <c r="O90" s="71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9" t="s">
        <v>48</v>
      </c>
      <c r="B93" s="179"/>
      <c r="C93" s="179"/>
      <c r="D93" s="180" t="s">
        <v>49</v>
      </c>
      <c r="E93" s="180"/>
      <c r="F93" s="10" t="s">
        <v>50</v>
      </c>
      <c r="G93" s="179" t="s">
        <v>51</v>
      </c>
      <c r="H93" s="179"/>
      <c r="I93" s="179"/>
      <c r="J93" s="179"/>
      <c r="K93" s="109"/>
      <c r="L93" s="109"/>
      <c r="M93" s="109"/>
      <c r="N93" s="109"/>
    </row>
    <row r="94" spans="1:15" outlineLevel="1">
      <c r="A94" s="160" t="str">
        <f>IF(VLOOKUP("эл",АО,3,FALSE)&gt;0,"Электроснабжение",0)</f>
        <v>Электроснабжение</v>
      </c>
      <c r="B94" s="160"/>
      <c r="C94" s="160"/>
      <c r="D94" s="161" t="str">
        <f>IF(VLOOKUP("эл",АО,3,FALSE)&gt;0,VLOOKUP("эл",АО,3,FALSE),0)</f>
        <v>Предоставляется</v>
      </c>
      <c r="E94" s="161"/>
      <c r="F94" s="13" t="str">
        <f>IF(VLOOKUP("эл",АО,3,FALSE)&gt;0,VLOOKUP("эл",АО,4,FALSE),0)</f>
        <v>кВт*ч</v>
      </c>
      <c r="G94" s="162">
        <f>VLOOKUP("эл",АО,5,FALSE)</f>
        <v>21393.97</v>
      </c>
      <c r="H94" s="161"/>
      <c r="I94" s="161"/>
      <c r="J94" s="161"/>
      <c r="K94" s="1" t="str">
        <f>VLOOKUP("эл",АО,2,FALSE)</f>
        <v>Электроснабжение</v>
      </c>
      <c r="L94" s="165"/>
    </row>
    <row r="95" spans="1:15" outlineLevel="2">
      <c r="A95" s="177" t="str">
        <f>IF(VLOOKUP("эл",АО,3,FALSE)&gt;0,VLOOKUP("эл1",АО,2,FALSE),0)</f>
        <v>Общий объем потребления, нат. показ.</v>
      </c>
      <c r="B95" s="177"/>
      <c r="C95" s="177"/>
      <c r="D95" s="177"/>
      <c r="E95" s="177"/>
      <c r="F95" s="177"/>
      <c r="G95" s="177"/>
      <c r="H95" s="177"/>
      <c r="I95" s="177"/>
      <c r="J95" s="18">
        <f t="shared" ref="J95:J101" si="3">VLOOKUP(O95,АО,3,FALSE)</f>
        <v>17828.310000000001</v>
      </c>
      <c r="L95" s="165"/>
      <c r="O95" s="1" t="s">
        <v>112</v>
      </c>
    </row>
    <row r="96" spans="1:15" outlineLevel="2">
      <c r="A96" s="177" t="str">
        <f>IF(VLOOKUP("эл",АО,3,FALSE)&gt;0,VLOOKUP("эл2",АО,2,FALSE),0)</f>
        <v>Оплачено потребителями, руб.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22356.240000000002</v>
      </c>
      <c r="L96" s="165"/>
      <c r="O96" s="1" t="s">
        <v>113</v>
      </c>
    </row>
    <row r="97" spans="1:15" outlineLevel="2">
      <c r="A97" s="177" t="str">
        <f>IF(VLOOKUP("эл",АО,3,FALSE)&gt;0,VLOOKUP("эл3",АО,2,FALSE),0)</f>
        <v>Задолженность потребителей, руб.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0</v>
      </c>
      <c r="L97" s="165"/>
      <c r="O97" s="1" t="s">
        <v>114</v>
      </c>
    </row>
    <row r="98" spans="1:15" ht="37.5" customHeight="1" outlineLevel="2">
      <c r="A98" s="177" t="str">
        <f>IF(VLOOKUP("эл",АО,3,FALSE)&gt;0,VLOOKUP("эл4",АО,2,FALSE),0)</f>
        <v>Начислено поставщиком (поставщиками) коммунального ресурса, руб.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21393.97</v>
      </c>
      <c r="L98" s="165"/>
      <c r="O98" s="1" t="s">
        <v>115</v>
      </c>
    </row>
    <row r="99" spans="1:15" outlineLevel="2">
      <c r="A99" s="177" t="str">
        <f>IF(VLOOKUP("эл",АО,3,FALSE)&gt;0,VLOOKUP("эл5",АО,2,FALSE),0)</f>
        <v>Оплачено поставщику (поставщикам) коммунального ресурса, руб.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21393.97</v>
      </c>
      <c r="L99" s="165"/>
      <c r="O99" s="1" t="s">
        <v>116</v>
      </c>
    </row>
    <row r="100" spans="1:15" ht="39" customHeight="1" outlineLevel="2">
      <c r="A100" s="17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65"/>
      <c r="O100" s="1" t="s">
        <v>117</v>
      </c>
    </row>
    <row r="101" spans="1:15" ht="34.5" customHeight="1" outlineLevel="2">
      <c r="A101" s="17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7"/>
      <c r="C101" s="177"/>
      <c r="D101" s="177"/>
      <c r="E101" s="177"/>
      <c r="F101" s="177"/>
      <c r="G101" s="177"/>
      <c r="H101" s="177"/>
      <c r="I101" s="177"/>
      <c r="J101" s="18">
        <f t="shared" si="3"/>
        <v>0</v>
      </c>
      <c r="L101" s="165"/>
      <c r="O101" s="1" t="s">
        <v>118</v>
      </c>
    </row>
    <row r="102" spans="1:15" ht="28.5" hidden="1" customHeight="1" outlineLevel="1">
      <c r="A102" s="160">
        <f>IF(VLOOKUP("хвс",АО,3,FALSE)&gt;0,"Холодное водоснабжение",0)</f>
        <v>0</v>
      </c>
      <c r="B102" s="160"/>
      <c r="C102" s="160"/>
      <c r="D102" s="161">
        <f>IF(VLOOKUP("хвс",АО,3,FALSE)&gt;0,VLOOKUP("хвс",АО,3,FALSE),0)</f>
        <v>0</v>
      </c>
      <c r="E102" s="161"/>
      <c r="F102" s="13">
        <f>IF(VLOOKUP("хвс",АО,3,FALSE)&gt;0,VLOOKUP("хвс",АО,4,FALSE),0)</f>
        <v>0</v>
      </c>
      <c r="G102" s="162">
        <f>VLOOKUP("хвс",АО,5,FALSE)</f>
        <v>0</v>
      </c>
      <c r="H102" s="161"/>
      <c r="I102" s="161"/>
      <c r="J102" s="161"/>
      <c r="L102" s="165"/>
    </row>
    <row r="103" spans="1:15" hidden="1" outlineLevel="2">
      <c r="A103" s="177">
        <f t="shared" ref="A103:A109" si="4">IF(VLOOKUP("хвс",АО,3,FALSE)&gt;0,VLOOKUP(O103,АО,2,FALSE),0)</f>
        <v>0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ref="J103:J109" si="5">VLOOKUP(O103,АО,3,FALSE)</f>
        <v>0</v>
      </c>
      <c r="L103" s="165"/>
      <c r="O103" s="1" t="s">
        <v>121</v>
      </c>
    </row>
    <row r="104" spans="1:15" ht="18.75" hidden="1" customHeight="1" outlineLevel="2">
      <c r="A104" s="177">
        <f t="shared" si="4"/>
        <v>0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0</v>
      </c>
      <c r="L104" s="165"/>
      <c r="O104" s="1" t="s">
        <v>122</v>
      </c>
    </row>
    <row r="105" spans="1:15" ht="18.75" hidden="1" customHeight="1" outlineLevel="2">
      <c r="A105" s="177">
        <f t="shared" si="4"/>
        <v>0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0</v>
      </c>
      <c r="L105" s="165"/>
      <c r="O105" s="1" t="s">
        <v>123</v>
      </c>
    </row>
    <row r="106" spans="1:15" ht="36.75" hidden="1" customHeight="1" outlineLevel="2">
      <c r="A106" s="177">
        <f t="shared" si="4"/>
        <v>0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0</v>
      </c>
      <c r="L106" s="165"/>
      <c r="O106" s="1" t="s">
        <v>124</v>
      </c>
    </row>
    <row r="107" spans="1:15" ht="18.75" hidden="1" customHeight="1" outlineLevel="2">
      <c r="A107" s="177">
        <f t="shared" si="4"/>
        <v>0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0</v>
      </c>
      <c r="L107" s="165"/>
      <c r="O107" s="1" t="s">
        <v>125</v>
      </c>
    </row>
    <row r="108" spans="1:15" ht="37.5" hidden="1" customHeight="1" outlineLevel="2">
      <c r="A108" s="177">
        <f t="shared" si="4"/>
        <v>0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65"/>
      <c r="O108" s="1" t="s">
        <v>126</v>
      </c>
    </row>
    <row r="109" spans="1:15" ht="39.75" hidden="1" customHeight="1" outlineLevel="2">
      <c r="A109" s="177">
        <f t="shared" si="4"/>
        <v>0</v>
      </c>
      <c r="B109" s="177"/>
      <c r="C109" s="177"/>
      <c r="D109" s="177"/>
      <c r="E109" s="177"/>
      <c r="F109" s="177"/>
      <c r="G109" s="177"/>
      <c r="H109" s="177"/>
      <c r="I109" s="177"/>
      <c r="J109" s="18">
        <f t="shared" si="5"/>
        <v>0</v>
      </c>
      <c r="L109" s="165"/>
      <c r="O109" s="1" t="s">
        <v>127</v>
      </c>
    </row>
    <row r="110" spans="1:15" ht="27" hidden="1" customHeight="1" outlineLevel="1">
      <c r="A110" s="160">
        <f>IF(VLOOKUP("воо",АО,3,FALSE)&gt;0,"Водоотведение",0)</f>
        <v>0</v>
      </c>
      <c r="B110" s="160"/>
      <c r="C110" s="160"/>
      <c r="D110" s="161">
        <f>IF(VLOOKUP("воо",АО,3,FALSE)&gt;0,VLOOKUP("воо",АО,3,FALSE),0)</f>
        <v>0</v>
      </c>
      <c r="E110" s="161"/>
      <c r="F110" s="13">
        <f>IF(VLOOKUP("воо",АО,3,FALSE)&gt;0,VLOOKUP("воо",АО,4,FALSE),0)</f>
        <v>0</v>
      </c>
      <c r="G110" s="162">
        <f>VLOOKUP("воо",АО,5,FALSE)</f>
        <v>0</v>
      </c>
      <c r="H110" s="161"/>
      <c r="I110" s="161"/>
      <c r="J110" s="161"/>
      <c r="L110" s="165"/>
    </row>
    <row r="111" spans="1:15" hidden="1" outlineLevel="2">
      <c r="A111" s="156">
        <f t="shared" ref="A111:A117" si="6">IF(VLOOKUP("воо",АО,3,FALSE)&gt;0,VLOOKUP(O111,АО,2,FALSE),0)</f>
        <v>0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0</v>
      </c>
      <c r="L111" s="165"/>
      <c r="O111" s="1" t="s">
        <v>129</v>
      </c>
    </row>
    <row r="112" spans="1:15" ht="18.75" hidden="1" customHeight="1" outlineLevel="2">
      <c r="A112" s="156">
        <f t="shared" si="6"/>
        <v>0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0</v>
      </c>
      <c r="L112" s="165"/>
      <c r="O112" s="1" t="s">
        <v>130</v>
      </c>
    </row>
    <row r="113" spans="1:15" ht="19.5" hidden="1" customHeight="1" outlineLevel="2">
      <c r="A113" s="156">
        <f t="shared" si="6"/>
        <v>0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0</v>
      </c>
      <c r="L113" s="165"/>
      <c r="O113" s="1" t="s">
        <v>131</v>
      </c>
    </row>
    <row r="114" spans="1:15" ht="33" hidden="1" customHeight="1" outlineLevel="2">
      <c r="A114" s="156">
        <f t="shared" si="6"/>
        <v>0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0</v>
      </c>
      <c r="L114" s="165"/>
      <c r="O114" s="1" t="s">
        <v>132</v>
      </c>
    </row>
    <row r="115" spans="1:15" ht="18.75" hidden="1" customHeight="1" outlineLevel="2">
      <c r="A115" s="156">
        <f t="shared" si="6"/>
        <v>0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0</v>
      </c>
      <c r="L115" s="165"/>
      <c r="O115" s="1" t="s">
        <v>133</v>
      </c>
    </row>
    <row r="116" spans="1:15" ht="33.75" hidden="1" customHeight="1" outlineLevel="2">
      <c r="A116" s="156">
        <f t="shared" si="6"/>
        <v>0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65"/>
      <c r="O116" s="1" t="s">
        <v>134</v>
      </c>
    </row>
    <row r="117" spans="1:15" ht="32.25" hidden="1" customHeight="1" outlineLevel="2">
      <c r="A117" s="156">
        <f t="shared" si="6"/>
        <v>0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65"/>
      <c r="O117" s="1" t="s">
        <v>135</v>
      </c>
    </row>
    <row r="118" spans="1:15" ht="32.25" hidden="1" customHeight="1" outlineLevel="1">
      <c r="A118" s="160">
        <f>IF(VLOOKUP("тко",АО,3,FALSE)&gt;0,"Обращение с ТКО",0)</f>
        <v>0</v>
      </c>
      <c r="B118" s="160"/>
      <c r="C118" s="160"/>
      <c r="D118" s="161">
        <f>IF(VLOOKUP("тко",АО,3,FALSE)&gt;0,VLOOKUP("тко",АО,3,FALSE),0)</f>
        <v>0</v>
      </c>
      <c r="E118" s="161"/>
      <c r="F118" s="13">
        <f>IF(VLOOKUP("тко",АО,3,FALSE)&gt;0,VLOOKUP("тко",АО,4,FALSE),0)</f>
        <v>0</v>
      </c>
      <c r="G118" s="162">
        <f>VLOOKUP("тко",АО,5,FALSE)</f>
        <v>0</v>
      </c>
      <c r="H118" s="161"/>
      <c r="I118" s="161"/>
      <c r="J118" s="161"/>
      <c r="L118" s="48"/>
    </row>
    <row r="119" spans="1:15" ht="32.25" hidden="1" customHeight="1" outlineLevel="2">
      <c r="A119" s="156">
        <f t="shared" ref="A119:A125" si="8">IF(VLOOKUP("тко",АО,3,FALSE)&gt;0,VLOOKUP(O119,АО,2,FALSE),0)</f>
        <v>0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6">
        <f t="shared" si="8"/>
        <v>0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6">
        <f t="shared" si="8"/>
        <v>0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6">
        <f t="shared" si="8"/>
        <v>0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6">
        <f t="shared" si="8"/>
        <v>0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6">
        <f t="shared" si="8"/>
        <v>0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6">
        <f t="shared" si="8"/>
        <v>0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60">
        <f>IF(VLOOKUP("гвс",АО,3,FALSE)&gt;0,"Горячее водоснабжение",0)</f>
        <v>0</v>
      </c>
      <c r="B126" s="160"/>
      <c r="C126" s="160"/>
      <c r="D126" s="161">
        <f>IF(VLOOKUP("гвс",АО,3,FALSE)&gt;0,VLOOKUP("гвс",АО,3,FALSE),0)</f>
        <v>0</v>
      </c>
      <c r="E126" s="161"/>
      <c r="F126" s="13">
        <f>IF(VLOOKUP("гвс",АО,3,FALSE)&gt;0,VLOOKUP("гвс",АО,4,FALSE),0)</f>
        <v>0</v>
      </c>
      <c r="G126" s="162">
        <f>VLOOKUP("гвс",АО,5,FALSE)</f>
        <v>0</v>
      </c>
      <c r="H126" s="161"/>
      <c r="I126" s="161"/>
      <c r="J126" s="161"/>
      <c r="L126" s="48"/>
    </row>
    <row r="127" spans="1:15" ht="32.25" hidden="1" customHeight="1" outlineLevel="2">
      <c r="A127" s="156">
        <f t="shared" ref="A127:A133" si="10">IF(VLOOKUP("гвс",АО,3,FALSE)&gt;0,VLOOKUP(O127,АО,2,FALSE),0)</f>
        <v>0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56">
        <f t="shared" si="10"/>
        <v>0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56">
        <f t="shared" si="10"/>
        <v>0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56">
        <f t="shared" si="10"/>
        <v>0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56">
        <f t="shared" si="10"/>
        <v>0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56">
        <f t="shared" si="10"/>
        <v>0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56">
        <f t="shared" si="10"/>
        <v>0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61">
        <f>IF(VLOOKUP("отопление",АО,3,FALSE)&gt;0,VLOOKUP("отопление",АО,3,FALSE),0)</f>
        <v>0</v>
      </c>
      <c r="E134" s="161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1"/>
      <c r="I134" s="161"/>
      <c r="J134" s="161"/>
      <c r="L134" s="48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6" t="s">
        <v>45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169</v>
      </c>
    </row>
    <row r="145" spans="1:15" ht="18.75" customHeight="1" outlineLevel="1">
      <c r="A145" s="156" t="s">
        <v>46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6" t="s">
        <v>172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0</v>
      </c>
      <c r="O146" t="s">
        <v>171</v>
      </c>
    </row>
    <row r="149" spans="1:15" ht="52.5" customHeight="1">
      <c r="A149" s="181" t="s">
        <v>180</v>
      </c>
      <c r="B149" s="181"/>
      <c r="C149" s="181"/>
      <c r="D149" s="181"/>
      <c r="E149" s="181"/>
      <c r="F149" s="181"/>
      <c r="G149" s="181"/>
      <c r="H149" s="181"/>
      <c r="I149" s="181"/>
      <c r="J149" s="181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3" t="s">
        <v>181</v>
      </c>
      <c r="B154" s="183"/>
      <c r="C154" s="183"/>
      <c r="D154" s="183"/>
      <c r="E154" s="27">
        <f>ПТО!G1</f>
        <v>-8674.33</v>
      </c>
    </row>
    <row r="155" spans="1:15" ht="34.5" customHeight="1">
      <c r="A155" s="182" t="s">
        <v>182</v>
      </c>
      <c r="B155" s="182"/>
      <c r="C155" s="182"/>
      <c r="D155" s="182"/>
      <c r="E155" s="28">
        <f>J13</f>
        <v>74490.600000000006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6" t="s">
        <v>19</v>
      </c>
      <c r="B157" s="166"/>
      <c r="C157" s="166"/>
      <c r="D157" s="166"/>
      <c r="E157" s="166"/>
      <c r="F157" s="166" t="s">
        <v>20</v>
      </c>
      <c r="G157" s="166"/>
      <c r="H157" s="20" t="s">
        <v>57</v>
      </c>
      <c r="I157" s="166" t="s">
        <v>21</v>
      </c>
      <c r="J157" s="166"/>
    </row>
    <row r="158" spans="1:15" ht="29.25" customHeight="1">
      <c r="A158" s="158" t="str">
        <f t="shared" ref="A158:A163" si="14">IF(N158&gt;0,N158,0)</f>
        <v>Техническое обслуживание охранной сигнализации.</v>
      </c>
      <c r="B158" s="158"/>
      <c r="C158" s="158"/>
      <c r="D158" s="158"/>
      <c r="E158" s="158"/>
      <c r="F158" s="163">
        <f t="shared" ref="F158:F163" si="15">IF(ISERROR(VLOOKUP(A158,$A$28:$J$72,6,FALSE)),0,VLOOKUP(A158,$A$28:$J$72,6,FALSE))</f>
        <v>5400</v>
      </c>
      <c r="G158" s="163"/>
      <c r="H158" s="24" t="str">
        <f t="shared" ref="H158:H187" si="16">VLOOKUP(A158,$A$28:$J$72,8,FALSE)</f>
        <v>ежемесячно</v>
      </c>
      <c r="I158" s="159">
        <f t="shared" ref="I158:I161" si="17">VLOOKUP(A158,$A$28:$J$72,9,FALSE)</f>
        <v>12</v>
      </c>
      <c r="J158" s="159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8" t="str">
        <f t="shared" si="14"/>
        <v>Замена аккумулятора охранной сигнализации.</v>
      </c>
      <c r="B159" s="158"/>
      <c r="C159" s="158"/>
      <c r="D159" s="158"/>
      <c r="E159" s="158"/>
      <c r="F159" s="163">
        <f t="shared" si="15"/>
        <v>300</v>
      </c>
      <c r="G159" s="163"/>
      <c r="H159" s="24" t="str">
        <f t="shared" si="16"/>
        <v>разово</v>
      </c>
      <c r="I159" s="159">
        <f t="shared" si="17"/>
        <v>1</v>
      </c>
      <c r="J159" s="159"/>
      <c r="M159" s="22" t="s">
        <v>72</v>
      </c>
      <c r="N159" s="1" t="str">
        <v>Замена аккумулятора охранной сигнализации.</v>
      </c>
    </row>
    <row r="160" spans="1:15" ht="28.5" customHeight="1">
      <c r="A160" s="158" t="str">
        <f t="shared" si="14"/>
        <v>Установка профлиста на вентиляционную шахту, герметизация стыков жидкой резиной (кв.29).</v>
      </c>
      <c r="B160" s="158"/>
      <c r="C160" s="158"/>
      <c r="D160" s="158"/>
      <c r="E160" s="158"/>
      <c r="F160" s="163">
        <f t="shared" si="15"/>
        <v>7701.5</v>
      </c>
      <c r="G160" s="163"/>
      <c r="H160" s="24" t="str">
        <f t="shared" si="16"/>
        <v>разово</v>
      </c>
      <c r="I160" s="159">
        <f t="shared" si="17"/>
        <v>1</v>
      </c>
      <c r="J160" s="159"/>
      <c r="M160" s="22" t="s">
        <v>72</v>
      </c>
      <c r="N160" s="1" t="str">
        <v>Установка профлиста на вентиляционную шахту, герметизация стыков жидкой резиной (кв.29).</v>
      </c>
    </row>
    <row r="161" spans="1:14" ht="28.5" customHeight="1">
      <c r="A161" s="158" t="str">
        <f>IF(N161&gt;0,N161,0)</f>
        <v>Аварийный ремонт теплообменника ГВС (замена уплотнительных прокладок).</v>
      </c>
      <c r="B161" s="158"/>
      <c r="C161" s="158"/>
      <c r="D161" s="158"/>
      <c r="E161" s="158"/>
      <c r="F161" s="163">
        <f t="shared" si="15"/>
        <v>7042.18</v>
      </c>
      <c r="G161" s="163"/>
      <c r="H161" s="24" t="str">
        <f t="shared" si="16"/>
        <v>разово</v>
      </c>
      <c r="I161" s="159">
        <f t="shared" si="17"/>
        <v>1</v>
      </c>
      <c r="J161" s="159"/>
      <c r="M161" s="22" t="s">
        <v>72</v>
      </c>
      <c r="N161" s="1" t="str">
        <v>Аварийный ремонт теплообменника ГВС (замена уплотнительных прокладок).</v>
      </c>
    </row>
    <row r="162" spans="1:14" ht="28.5" customHeight="1">
      <c r="A162" s="158" t="str">
        <f t="shared" si="14"/>
        <v>Приобретение и установка информационного стенда на детскую площадку.</v>
      </c>
      <c r="B162" s="158"/>
      <c r="C162" s="158"/>
      <c r="D162" s="158"/>
      <c r="E162" s="158"/>
      <c r="F162" s="163">
        <f t="shared" si="15"/>
        <v>542.4</v>
      </c>
      <c r="G162" s="163"/>
      <c r="H162" s="24" t="str">
        <f t="shared" si="16"/>
        <v>разово</v>
      </c>
      <c r="I162" s="159">
        <f>VLOOKUP(A162,$A$28:$J$72,9,FALSE)</f>
        <v>1</v>
      </c>
      <c r="J162" s="159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customHeight="1">
      <c r="A163" s="158" t="str">
        <f t="shared" si="14"/>
        <v>Перерасчет по итогам 2021 года.</v>
      </c>
      <c r="B163" s="158"/>
      <c r="C163" s="158"/>
      <c r="D163" s="158"/>
      <c r="E163" s="158"/>
      <c r="F163" s="163">
        <f t="shared" si="15"/>
        <v>62178.85</v>
      </c>
      <c r="G163" s="163"/>
      <c r="H163" s="24" t="str">
        <f t="shared" si="16"/>
        <v>разово</v>
      </c>
      <c r="I163" s="159">
        <f>VLOOKUP(A163,$A$28:$J$72,9,FALSE)</f>
        <v>1</v>
      </c>
      <c r="J163" s="159"/>
      <c r="M163" s="22" t="s">
        <v>72</v>
      </c>
      <c r="N163" s="1" t="str">
        <v>Перерасчет по итогам 2021 года.</v>
      </c>
    </row>
    <row r="164" spans="1:14" ht="28.5" hidden="1" customHeight="1">
      <c r="A164" s="158">
        <f t="shared" ref="A164:A187" si="18">IF(N164&gt;0,N164,0)</f>
        <v>0</v>
      </c>
      <c r="B164" s="158"/>
      <c r="C164" s="158"/>
      <c r="D164" s="158"/>
      <c r="E164" s="158"/>
      <c r="F164" s="163">
        <f t="shared" ref="F164:F187" si="19">IF(ISERROR(VLOOKUP(A164,$A$28:$J$72,6,FALSE)),0,VLOOKUP(A164,$A$28:$J$72,6,FALSE))</f>
        <v>0</v>
      </c>
      <c r="G164" s="163"/>
      <c r="H164" s="29" t="e">
        <f t="shared" si="16"/>
        <v>#N/A</v>
      </c>
      <c r="I164" s="159" t="e">
        <f t="shared" ref="I164:I187" si="20">VLOOKUP(A164,$A$28:$J$72,9,FALSE)</f>
        <v>#N/A</v>
      </c>
      <c r="J164" s="159"/>
      <c r="M164" s="22" t="s">
        <v>72</v>
      </c>
      <c r="N164" s="1">
        <v>0</v>
      </c>
    </row>
    <row r="165" spans="1:14" ht="28.5" hidden="1" customHeight="1">
      <c r="A165" s="158">
        <f t="shared" si="18"/>
        <v>0</v>
      </c>
      <c r="B165" s="158"/>
      <c r="C165" s="158"/>
      <c r="D165" s="158"/>
      <c r="E165" s="158"/>
      <c r="F165" s="163">
        <f t="shared" si="19"/>
        <v>0</v>
      </c>
      <c r="G165" s="163"/>
      <c r="H165" s="29" t="e">
        <f t="shared" si="16"/>
        <v>#N/A</v>
      </c>
      <c r="I165" s="159" t="e">
        <f t="shared" si="20"/>
        <v>#N/A</v>
      </c>
      <c r="J165" s="159"/>
      <c r="M165" s="22" t="s">
        <v>72</v>
      </c>
      <c r="N165" s="1">
        <v>0</v>
      </c>
    </row>
    <row r="166" spans="1:14" ht="28.5" hidden="1" customHeight="1">
      <c r="A166" s="158">
        <f t="shared" si="18"/>
        <v>0</v>
      </c>
      <c r="B166" s="158"/>
      <c r="C166" s="158"/>
      <c r="D166" s="158"/>
      <c r="E166" s="158"/>
      <c r="F166" s="163">
        <f t="shared" si="19"/>
        <v>0</v>
      </c>
      <c r="G166" s="163"/>
      <c r="H166" s="29" t="e">
        <f t="shared" si="16"/>
        <v>#N/A</v>
      </c>
      <c r="I166" s="159" t="e">
        <f t="shared" si="20"/>
        <v>#N/A</v>
      </c>
      <c r="J166" s="159"/>
      <c r="M166" s="22" t="s">
        <v>72</v>
      </c>
      <c r="N166" s="1">
        <v>0</v>
      </c>
    </row>
    <row r="167" spans="1:14" ht="28.5" hidden="1" customHeight="1">
      <c r="A167" s="158">
        <f t="shared" si="18"/>
        <v>0</v>
      </c>
      <c r="B167" s="158"/>
      <c r="C167" s="158"/>
      <c r="D167" s="158"/>
      <c r="E167" s="158"/>
      <c r="F167" s="163">
        <f t="shared" si="19"/>
        <v>0</v>
      </c>
      <c r="G167" s="163"/>
      <c r="H167" s="29" t="e">
        <f t="shared" si="16"/>
        <v>#N/A</v>
      </c>
      <c r="I167" s="159" t="e">
        <f t="shared" si="20"/>
        <v>#N/A</v>
      </c>
      <c r="J167" s="159"/>
      <c r="M167" s="22" t="s">
        <v>72</v>
      </c>
      <c r="N167" s="1">
        <v>0</v>
      </c>
    </row>
    <row r="168" spans="1:14" ht="28.5" hidden="1" customHeight="1">
      <c r="A168" s="158">
        <f t="shared" si="18"/>
        <v>0</v>
      </c>
      <c r="B168" s="158"/>
      <c r="C168" s="158"/>
      <c r="D168" s="158"/>
      <c r="E168" s="158"/>
      <c r="F168" s="163">
        <f t="shared" si="19"/>
        <v>0</v>
      </c>
      <c r="G168" s="163"/>
      <c r="H168" s="29" t="e">
        <f t="shared" si="16"/>
        <v>#N/A</v>
      </c>
      <c r="I168" s="159" t="e">
        <f t="shared" si="20"/>
        <v>#N/A</v>
      </c>
      <c r="J168" s="159"/>
      <c r="M168" s="22" t="s">
        <v>72</v>
      </c>
      <c r="N168" s="1">
        <v>0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63">
        <f t="shared" si="19"/>
        <v>0</v>
      </c>
      <c r="G169" s="163"/>
      <c r="H169" s="29" t="e">
        <f t="shared" si="16"/>
        <v>#N/A</v>
      </c>
      <c r="I169" s="159" t="e">
        <f t="shared" si="20"/>
        <v>#N/A</v>
      </c>
      <c r="J169" s="159"/>
      <c r="M169" s="22" t="s">
        <v>72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63">
        <f t="shared" si="19"/>
        <v>0</v>
      </c>
      <c r="G170" s="163"/>
      <c r="H170" s="29" t="e">
        <f t="shared" si="16"/>
        <v>#N/A</v>
      </c>
      <c r="I170" s="159" t="e">
        <f t="shared" si="20"/>
        <v>#N/A</v>
      </c>
      <c r="J170" s="159"/>
      <c r="M170" s="22" t="s">
        <v>72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63">
        <f t="shared" si="19"/>
        <v>0</v>
      </c>
      <c r="G171" s="163"/>
      <c r="H171" s="29" t="e">
        <f t="shared" si="16"/>
        <v>#N/A</v>
      </c>
      <c r="I171" s="159" t="e">
        <f t="shared" si="20"/>
        <v>#N/A</v>
      </c>
      <c r="J171" s="159"/>
      <c r="M171" s="22" t="s">
        <v>72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63">
        <f t="shared" si="19"/>
        <v>0</v>
      </c>
      <c r="G172" s="163"/>
      <c r="H172" s="29" t="e">
        <f t="shared" si="16"/>
        <v>#N/A</v>
      </c>
      <c r="I172" s="159" t="e">
        <f t="shared" si="20"/>
        <v>#N/A</v>
      </c>
      <c r="J172" s="159"/>
      <c r="M172" s="22" t="s">
        <v>72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63">
        <f t="shared" si="19"/>
        <v>0</v>
      </c>
      <c r="G173" s="163"/>
      <c r="H173" s="29" t="e">
        <f t="shared" si="16"/>
        <v>#N/A</v>
      </c>
      <c r="I173" s="159" t="e">
        <f t="shared" si="20"/>
        <v>#N/A</v>
      </c>
      <c r="J173" s="159"/>
      <c r="M173" s="22" t="s">
        <v>72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63">
        <f t="shared" si="19"/>
        <v>0</v>
      </c>
      <c r="G174" s="163"/>
      <c r="H174" s="29" t="e">
        <f t="shared" si="16"/>
        <v>#N/A</v>
      </c>
      <c r="I174" s="159" t="e">
        <f t="shared" si="20"/>
        <v>#N/A</v>
      </c>
      <c r="J174" s="159"/>
      <c r="M174" s="22" t="s">
        <v>72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63">
        <f t="shared" si="19"/>
        <v>0</v>
      </c>
      <c r="G175" s="163"/>
      <c r="H175" s="29" t="e">
        <f t="shared" si="16"/>
        <v>#N/A</v>
      </c>
      <c r="I175" s="159" t="e">
        <f t="shared" si="20"/>
        <v>#N/A</v>
      </c>
      <c r="J175" s="159"/>
      <c r="M175" s="22" t="s">
        <v>72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63">
        <f t="shared" si="19"/>
        <v>0</v>
      </c>
      <c r="G176" s="163"/>
      <c r="H176" s="29" t="e">
        <f t="shared" si="16"/>
        <v>#N/A</v>
      </c>
      <c r="I176" s="159" t="e">
        <f t="shared" si="20"/>
        <v>#N/A</v>
      </c>
      <c r="J176" s="159"/>
      <c r="M176" s="22" t="s">
        <v>72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63">
        <f t="shared" si="19"/>
        <v>0</v>
      </c>
      <c r="G177" s="163"/>
      <c r="H177" s="29" t="e">
        <f t="shared" si="16"/>
        <v>#N/A</v>
      </c>
      <c r="I177" s="159" t="e">
        <f t="shared" si="20"/>
        <v>#N/A</v>
      </c>
      <c r="J177" s="159"/>
      <c r="M177" s="22" t="s">
        <v>72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63">
        <f t="shared" si="19"/>
        <v>0</v>
      </c>
      <c r="G178" s="163"/>
      <c r="H178" s="29" t="e">
        <f t="shared" si="16"/>
        <v>#N/A</v>
      </c>
      <c r="I178" s="159" t="e">
        <f t="shared" si="20"/>
        <v>#N/A</v>
      </c>
      <c r="J178" s="159"/>
      <c r="M178" s="22" t="s">
        <v>72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63">
        <f t="shared" si="19"/>
        <v>0</v>
      </c>
      <c r="G179" s="163"/>
      <c r="H179" s="29" t="e">
        <f t="shared" si="16"/>
        <v>#N/A</v>
      </c>
      <c r="I179" s="159" t="e">
        <f t="shared" si="20"/>
        <v>#N/A</v>
      </c>
      <c r="J179" s="159"/>
      <c r="M179" s="22" t="s">
        <v>72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63">
        <f t="shared" si="19"/>
        <v>0</v>
      </c>
      <c r="G180" s="163"/>
      <c r="H180" s="29" t="e">
        <f t="shared" si="16"/>
        <v>#N/A</v>
      </c>
      <c r="I180" s="159" t="e">
        <f t="shared" si="20"/>
        <v>#N/A</v>
      </c>
      <c r="J180" s="159"/>
      <c r="M180" s="22" t="s">
        <v>72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63">
        <f t="shared" si="19"/>
        <v>0</v>
      </c>
      <c r="G181" s="163"/>
      <c r="H181" s="29" t="e">
        <f t="shared" si="16"/>
        <v>#N/A</v>
      </c>
      <c r="I181" s="159" t="e">
        <f t="shared" si="20"/>
        <v>#N/A</v>
      </c>
      <c r="J181" s="159"/>
      <c r="M181" s="22" t="s">
        <v>72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63">
        <f t="shared" si="19"/>
        <v>0</v>
      </c>
      <c r="G182" s="163"/>
      <c r="H182" s="29" t="e">
        <f t="shared" si="16"/>
        <v>#N/A</v>
      </c>
      <c r="I182" s="159" t="e">
        <f t="shared" si="20"/>
        <v>#N/A</v>
      </c>
      <c r="J182" s="159"/>
      <c r="M182" s="22" t="s">
        <v>72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63">
        <f t="shared" si="19"/>
        <v>0</v>
      </c>
      <c r="G183" s="163"/>
      <c r="H183" s="29" t="e">
        <f t="shared" si="16"/>
        <v>#N/A</v>
      </c>
      <c r="I183" s="159" t="e">
        <f t="shared" si="20"/>
        <v>#N/A</v>
      </c>
      <c r="J183" s="159"/>
      <c r="M183" s="22" t="s">
        <v>72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63">
        <f t="shared" si="19"/>
        <v>0</v>
      </c>
      <c r="G184" s="163"/>
      <c r="H184" s="29" t="e">
        <f t="shared" si="16"/>
        <v>#N/A</v>
      </c>
      <c r="I184" s="159" t="e">
        <f t="shared" si="20"/>
        <v>#N/A</v>
      </c>
      <c r="J184" s="159"/>
      <c r="M184" s="22" t="s">
        <v>72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63">
        <f t="shared" si="19"/>
        <v>0</v>
      </c>
      <c r="G185" s="163"/>
      <c r="H185" s="29" t="e">
        <f t="shared" si="16"/>
        <v>#N/A</v>
      </c>
      <c r="I185" s="159" t="e">
        <f t="shared" si="20"/>
        <v>#N/A</v>
      </c>
      <c r="J185" s="159"/>
      <c r="M185" s="22" t="s">
        <v>72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63">
        <f t="shared" si="19"/>
        <v>0</v>
      </c>
      <c r="G186" s="163"/>
      <c r="H186" s="29" t="e">
        <f t="shared" si="16"/>
        <v>#N/A</v>
      </c>
      <c r="I186" s="159" t="e">
        <f t="shared" si="20"/>
        <v>#N/A</v>
      </c>
      <c r="J186" s="159"/>
      <c r="M186" s="22" t="s">
        <v>72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63">
        <f t="shared" si="19"/>
        <v>0</v>
      </c>
      <c r="G187" s="163"/>
      <c r="H187" s="29" t="e">
        <f t="shared" si="16"/>
        <v>#N/A</v>
      </c>
      <c r="I187" s="159" t="e">
        <f t="shared" si="20"/>
        <v>#N/A</v>
      </c>
      <c r="J187" s="159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3" t="s">
        <v>183</v>
      </c>
      <c r="B190" s="183"/>
      <c r="C190" s="183"/>
      <c r="D190" s="183"/>
      <c r="E190" s="27">
        <f>SUM(F158:G187)</f>
        <v>83164.929999999993</v>
      </c>
    </row>
    <row r="191" spans="1:14" ht="51.75" customHeight="1">
      <c r="A191" s="183" t="s">
        <v>184</v>
      </c>
      <c r="B191" s="183"/>
      <c r="C191" s="183"/>
      <c r="D191" s="183"/>
      <c r="E191" s="27">
        <f>E190+E154-E155</f>
        <v>0</v>
      </c>
    </row>
    <row r="192" spans="1:14">
      <c r="A192" s="104" t="s">
        <v>173</v>
      </c>
    </row>
    <row r="193" spans="1:10" ht="62.25" customHeight="1">
      <c r="A193" s="157" t="s">
        <v>185</v>
      </c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1:10">
      <c r="A194" s="155" t="str">
        <f>ПТО!F12</f>
        <v xml:space="preserve">  -  поверка (замена) манометров и термометров</v>
      </c>
      <c r="B194" s="155"/>
      <c r="C194" s="155"/>
      <c r="D194" s="155"/>
      <c r="E194" s="155"/>
      <c r="F194" s="155"/>
      <c r="G194" s="155"/>
      <c r="H194" s="50">
        <f>ПТО!G12</f>
        <v>1200</v>
      </c>
      <c r="I194" s="51" t="s">
        <v>74</v>
      </c>
    </row>
    <row r="195" spans="1:10" ht="18.75" customHeight="1">
      <c r="A195" s="155" t="str">
        <f>ПТО!F13</f>
        <v xml:space="preserve">  -  техническое обслуживание охранной сигнализации</v>
      </c>
      <c r="B195" s="155"/>
      <c r="C195" s="155"/>
      <c r="D195" s="155"/>
      <c r="E195" s="155"/>
      <c r="F195" s="155"/>
      <c r="G195" s="155"/>
      <c r="H195" s="50">
        <f>ПТО!G13</f>
        <v>5400</v>
      </c>
      <c r="I195" s="51" t="s">
        <v>74</v>
      </c>
    </row>
    <row r="196" spans="1:10" ht="18.75" hidden="1" customHeight="1">
      <c r="A196" s="155">
        <f>ПТО!F14</f>
        <v>0</v>
      </c>
      <c r="B196" s="155"/>
      <c r="C196" s="155"/>
      <c r="D196" s="155"/>
      <c r="E196" s="155"/>
      <c r="F196" s="155"/>
      <c r="G196" s="155"/>
      <c r="H196" s="50">
        <f>ПТО!G14</f>
        <v>0</v>
      </c>
      <c r="I196" s="51" t="s">
        <v>74</v>
      </c>
    </row>
    <row r="197" spans="1:10" ht="33" hidden="1" customHeight="1">
      <c r="A197" s="155">
        <f>ПТО!F15</f>
        <v>0</v>
      </c>
      <c r="B197" s="155"/>
      <c r="C197" s="155"/>
      <c r="D197" s="155"/>
      <c r="E197" s="155"/>
      <c r="F197" s="155"/>
      <c r="G197" s="155"/>
      <c r="H197" s="50">
        <f>ПТО!G15</f>
        <v>0</v>
      </c>
      <c r="I197" s="51" t="s">
        <v>74</v>
      </c>
    </row>
    <row r="198" spans="1:10" ht="18.75" hidden="1" customHeight="1">
      <c r="A198" s="155">
        <f>ПТО!F16</f>
        <v>0</v>
      </c>
      <c r="B198" s="155"/>
      <c r="C198" s="155"/>
      <c r="D198" s="155"/>
      <c r="E198" s="155"/>
      <c r="F198" s="155"/>
      <c r="G198" s="155"/>
      <c r="H198" s="50">
        <f>ПТО!G16</f>
        <v>0</v>
      </c>
      <c r="I198" s="53" t="s">
        <v>74</v>
      </c>
    </row>
    <row r="199" spans="1:10" ht="18.75" hidden="1" customHeight="1">
      <c r="A199" s="155">
        <f>ПТО!F17</f>
        <v>0</v>
      </c>
      <c r="B199" s="155"/>
      <c r="C199" s="155"/>
      <c r="D199" s="155"/>
      <c r="E199" s="155"/>
      <c r="F199" s="155"/>
      <c r="G199" s="155"/>
      <c r="H199" s="50">
        <f>ПТО!G17</f>
        <v>0</v>
      </c>
      <c r="I199" s="51" t="s">
        <v>74</v>
      </c>
    </row>
    <row r="200" spans="1:10" hidden="1">
      <c r="A200" s="155">
        <f>ПТО!F18</f>
        <v>0</v>
      </c>
      <c r="B200" s="155"/>
      <c r="C200" s="155"/>
      <c r="D200" s="155"/>
      <c r="E200" s="155"/>
      <c r="F200" s="155"/>
      <c r="G200" s="155"/>
      <c r="H200" s="50">
        <f>ПТО!G18</f>
        <v>0</v>
      </c>
      <c r="I200" s="51" t="s">
        <v>74</v>
      </c>
    </row>
    <row r="201" spans="1:10" hidden="1">
      <c r="A201" s="155">
        <f>ПТО!F19</f>
        <v>0</v>
      </c>
      <c r="B201" s="155"/>
      <c r="C201" s="155"/>
      <c r="D201" s="155"/>
      <c r="E201" s="155"/>
      <c r="F201" s="155"/>
      <c r="G201" s="155"/>
      <c r="H201" s="50">
        <f>ПТО!G19</f>
        <v>0</v>
      </c>
      <c r="I201" s="51" t="s">
        <v>74</v>
      </c>
    </row>
    <row r="202" spans="1:10" hidden="1">
      <c r="A202" s="155">
        <f>ПТО!F20</f>
        <v>0</v>
      </c>
      <c r="B202" s="155"/>
      <c r="C202" s="155"/>
      <c r="D202" s="155"/>
      <c r="E202" s="155"/>
      <c r="F202" s="155"/>
      <c r="G202" s="155"/>
      <c r="H202" s="50">
        <f>ПТО!G20</f>
        <v>0</v>
      </c>
      <c r="I202" s="51" t="s">
        <v>74</v>
      </c>
    </row>
    <row r="203" spans="1:10" hidden="1">
      <c r="A203" s="155">
        <f>ПТО!F21</f>
        <v>0</v>
      </c>
      <c r="B203" s="155"/>
      <c r="C203" s="155"/>
      <c r="D203" s="155"/>
      <c r="E203" s="155"/>
      <c r="F203" s="155"/>
      <c r="G203" s="155"/>
      <c r="H203" s="50">
        <f>ПТО!G21</f>
        <v>0</v>
      </c>
      <c r="I203" s="51" t="s">
        <v>74</v>
      </c>
    </row>
    <row r="204" spans="1:10" hidden="1">
      <c r="A204" s="155">
        <f>ПТО!F22</f>
        <v>0</v>
      </c>
      <c r="B204" s="155"/>
      <c r="C204" s="155"/>
      <c r="D204" s="155"/>
      <c r="E204" s="155"/>
      <c r="F204" s="155"/>
      <c r="G204" s="155"/>
      <c r="H204" s="50">
        <f>ПТО!G22</f>
        <v>0</v>
      </c>
      <c r="I204" s="51" t="s">
        <v>74</v>
      </c>
    </row>
    <row r="205" spans="1:10" hidden="1">
      <c r="A205" s="155">
        <f>ПТО!F23</f>
        <v>0</v>
      </c>
      <c r="B205" s="155"/>
      <c r="C205" s="155"/>
      <c r="D205" s="155"/>
      <c r="E205" s="155"/>
      <c r="F205" s="155"/>
      <c r="G205" s="155"/>
      <c r="H205" s="50">
        <f>ПТО!G23</f>
        <v>0</v>
      </c>
      <c r="I205" s="51" t="s">
        <v>74</v>
      </c>
    </row>
    <row r="206" spans="1:10" hidden="1">
      <c r="A206" s="155">
        <f>ПТО!F24</f>
        <v>0</v>
      </c>
      <c r="B206" s="155"/>
      <c r="C206" s="155"/>
      <c r="D206" s="155"/>
      <c r="E206" s="155"/>
      <c r="F206" s="155"/>
      <c r="G206" s="155"/>
      <c r="H206" s="50">
        <f>ПТО!G24</f>
        <v>0</v>
      </c>
      <c r="I206" s="51" t="s">
        <v>74</v>
      </c>
    </row>
    <row r="207" spans="1:10" hidden="1">
      <c r="A207" s="155">
        <f>ПТО!F25</f>
        <v>0</v>
      </c>
      <c r="B207" s="155"/>
      <c r="C207" s="155"/>
      <c r="D207" s="155"/>
      <c r="E207" s="155"/>
      <c r="F207" s="155"/>
      <c r="G207" s="155"/>
      <c r="H207" s="50">
        <f>ПТО!G25</f>
        <v>0</v>
      </c>
      <c r="I207" s="51" t="s">
        <v>74</v>
      </c>
    </row>
    <row r="208" spans="1:10" hidden="1">
      <c r="A208" s="155">
        <f>ПТО!F26</f>
        <v>0</v>
      </c>
      <c r="B208" s="155"/>
      <c r="C208" s="155"/>
      <c r="D208" s="155"/>
      <c r="E208" s="155"/>
      <c r="F208" s="155"/>
      <c r="G208" s="155"/>
      <c r="H208" s="50">
        <f>ПТО!G26</f>
        <v>0</v>
      </c>
      <c r="I208" s="51" t="s">
        <v>74</v>
      </c>
    </row>
    <row r="209" spans="1:9" hidden="1">
      <c r="A209" s="155">
        <f>ПТО!F27</f>
        <v>0</v>
      </c>
      <c r="B209" s="155"/>
      <c r="C209" s="155"/>
      <c r="D209" s="155"/>
      <c r="E209" s="155"/>
      <c r="F209" s="155"/>
      <c r="G209" s="155"/>
      <c r="H209" s="50">
        <f>ПТО!G27</f>
        <v>0</v>
      </c>
      <c r="I209" s="51" t="s">
        <v>74</v>
      </c>
    </row>
    <row r="210" spans="1:9" hidden="1">
      <c r="A210" s="155">
        <f>ПТО!F28</f>
        <v>0</v>
      </c>
      <c r="B210" s="155"/>
      <c r="C210" s="155"/>
      <c r="D210" s="155"/>
      <c r="E210" s="155"/>
      <c r="F210" s="155"/>
      <c r="G210" s="155"/>
      <c r="H210" s="50">
        <f>ПТО!G28</f>
        <v>0</v>
      </c>
      <c r="I210" s="51" t="s">
        <v>74</v>
      </c>
    </row>
    <row r="211" spans="1:9" hidden="1">
      <c r="A211" s="155">
        <f>ПТО!F29</f>
        <v>0</v>
      </c>
      <c r="B211" s="155"/>
      <c r="C211" s="155"/>
      <c r="D211" s="155"/>
      <c r="E211" s="155"/>
      <c r="F211" s="155"/>
      <c r="G211" s="155"/>
      <c r="H211" s="50">
        <f>ПТО!G29</f>
        <v>0</v>
      </c>
      <c r="I211" s="51" t="s">
        <v>74</v>
      </c>
    </row>
    <row r="212" spans="1:9" hidden="1">
      <c r="A212" s="155">
        <f>ПТО!F30</f>
        <v>0</v>
      </c>
      <c r="B212" s="155"/>
      <c r="C212" s="155"/>
      <c r="D212" s="155"/>
      <c r="E212" s="155"/>
      <c r="F212" s="155"/>
      <c r="G212" s="155"/>
      <c r="H212" s="50">
        <f>ПТО!G30</f>
        <v>0</v>
      </c>
      <c r="I212" s="51" t="s">
        <v>74</v>
      </c>
    </row>
    <row r="213" spans="1:9" hidden="1">
      <c r="A213" s="155">
        <f>ПТО!F31</f>
        <v>0</v>
      </c>
      <c r="B213" s="155"/>
      <c r="C213" s="155"/>
      <c r="D213" s="155"/>
      <c r="E213" s="155"/>
      <c r="F213" s="155"/>
      <c r="G213" s="155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6600</v>
      </c>
      <c r="I214" s="57" t="s">
        <v>76</v>
      </c>
    </row>
    <row r="215" spans="1:9" ht="12.75" customHeight="1"/>
  </sheetData>
  <sheetProtection algorithmName="SHA-512" hashValue="Hd85i49L9A2cYAAgDspIXoaEvCDUcgk87RbBg0DiyPHPawV9DrD+xYZGxGB2oOiuVtEML/50GRUOaHeDWWMHLg==" saltValue="JFVKQyVGWvTXfeCmjtH84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181</v>
      </c>
      <c r="G1" s="121">
        <f>-8674.33</f>
        <v>-8674.33</v>
      </c>
    </row>
    <row r="2" spans="1:12" ht="18.75" customHeight="1">
      <c r="A2" s="118" t="s">
        <v>178</v>
      </c>
      <c r="B2" s="120" t="s">
        <v>175</v>
      </c>
      <c r="C2" s="120">
        <v>12</v>
      </c>
      <c r="D2" s="119">
        <v>5400</v>
      </c>
      <c r="E2" s="31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186</v>
      </c>
      <c r="B3" s="139" t="s">
        <v>187</v>
      </c>
      <c r="C3" s="140">
        <v>1</v>
      </c>
      <c r="D3" s="141">
        <v>300</v>
      </c>
      <c r="E3" s="142" t="s">
        <v>188</v>
      </c>
      <c r="F3" s="30"/>
      <c r="G3" s="30"/>
      <c r="L3" s="33" t="str">
        <f t="shared" si="0"/>
        <v>ТР</v>
      </c>
    </row>
    <row r="4" spans="1:12" ht="18.75" customHeight="1">
      <c r="A4" s="130" t="s">
        <v>192</v>
      </c>
      <c r="B4" s="136" t="s">
        <v>187</v>
      </c>
      <c r="C4" s="131">
        <v>1</v>
      </c>
      <c r="D4" s="137">
        <v>7701.5</v>
      </c>
      <c r="E4" s="126" t="s">
        <v>189</v>
      </c>
      <c r="F4" s="30"/>
      <c r="G4" s="30"/>
      <c r="L4" s="33" t="str">
        <f t="shared" si="0"/>
        <v>ТР</v>
      </c>
    </row>
    <row r="5" spans="1:12" ht="18.75" customHeight="1">
      <c r="A5" s="45" t="s">
        <v>190</v>
      </c>
      <c r="B5" s="143" t="s">
        <v>187</v>
      </c>
      <c r="C5" s="43">
        <v>1</v>
      </c>
      <c r="D5" s="47">
        <v>7042.18</v>
      </c>
      <c r="E5" s="45" t="s">
        <v>191</v>
      </c>
      <c r="F5" s="45"/>
      <c r="G5" s="45"/>
      <c r="K5" s="47"/>
      <c r="L5" s="33" t="str">
        <f t="shared" si="0"/>
        <v>ТР</v>
      </c>
    </row>
    <row r="6" spans="1:12" ht="18.75" customHeight="1">
      <c r="A6" s="146" t="s">
        <v>193</v>
      </c>
      <c r="B6" s="144" t="s">
        <v>187</v>
      </c>
      <c r="C6" s="145">
        <v>1</v>
      </c>
      <c r="D6" s="147">
        <v>542.4</v>
      </c>
      <c r="E6" s="148" t="s">
        <v>194</v>
      </c>
      <c r="F6" s="45"/>
      <c r="G6" s="45"/>
      <c r="K6" s="47"/>
      <c r="L6" s="33" t="str">
        <f t="shared" si="0"/>
        <v>ТР</v>
      </c>
    </row>
    <row r="7" spans="1:12" ht="18.75" customHeight="1">
      <c r="A7" s="153" t="s">
        <v>204</v>
      </c>
      <c r="B7" s="154" t="s">
        <v>187</v>
      </c>
      <c r="C7" s="43">
        <v>1</v>
      </c>
      <c r="D7" s="44">
        <v>62178.85</v>
      </c>
      <c r="E7" s="45" t="s">
        <v>205</v>
      </c>
      <c r="F7" s="46"/>
      <c r="G7" s="46"/>
      <c r="K7" s="47"/>
      <c r="L7" s="33" t="str">
        <f t="shared" si="0"/>
        <v>ТР</v>
      </c>
    </row>
    <row r="8" spans="1:12" ht="18.75" customHeight="1">
      <c r="A8" s="124"/>
      <c r="B8" s="125"/>
      <c r="C8" s="43"/>
      <c r="D8" s="44"/>
      <c r="E8" s="126"/>
      <c r="F8" s="46"/>
      <c r="G8" s="46"/>
      <c r="K8" s="44"/>
      <c r="L8" s="33">
        <f t="shared" si="0"/>
        <v>0</v>
      </c>
    </row>
    <row r="9" spans="1:12">
      <c r="A9" s="45"/>
      <c r="B9" s="135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130"/>
      <c r="B10" s="131"/>
      <c r="C10" s="132"/>
      <c r="D10" s="133"/>
      <c r="E10" s="134"/>
      <c r="L10" s="33">
        <f t="shared" si="0"/>
        <v>0</v>
      </c>
    </row>
    <row r="11" spans="1:12" ht="94.5">
      <c r="A11" s="30"/>
      <c r="F11" s="111" t="s">
        <v>185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179</v>
      </c>
      <c r="G13" s="113">
        <v>5400</v>
      </c>
      <c r="L13" s="33">
        <f t="shared" si="0"/>
        <v>0</v>
      </c>
    </row>
    <row r="14" spans="1:12" ht="15.75">
      <c r="A14" s="30"/>
      <c r="F14" s="112"/>
      <c r="G14" s="113"/>
      <c r="L14" s="33">
        <f t="shared" si="0"/>
        <v>0</v>
      </c>
    </row>
    <row r="15" spans="1:12" ht="15.75">
      <c r="A15" s="30"/>
      <c r="F15" s="112"/>
      <c r="G15" s="114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45377.760000000002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45377.760000000002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29249.52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29249.52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16401.599999999999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16401.599999999999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6970.68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6970.68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28839.48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28839.48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196</v>
      </c>
      <c r="B46" s="149">
        <f>(E46*G52*F54*6+E46*G52*G54*6)+(F46*G58*F60*6+F46*G58*G60*6)+(F46*G62*F64*6+F46*G62*G64*6)</f>
        <v>25033.43475</v>
      </c>
      <c r="C46" s="150" t="s">
        <v>68</v>
      </c>
      <c r="D46" s="49">
        <v>12</v>
      </c>
      <c r="E46" s="149">
        <v>588.29999999999995</v>
      </c>
      <c r="F46" s="149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25033.43475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51"/>
      <c r="C47" s="150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52" t="s">
        <v>197</v>
      </c>
      <c r="F51" s="152" t="s">
        <v>198</v>
      </c>
      <c r="G51" s="152" t="s">
        <v>199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2"/>
      <c r="F52" s="149">
        <v>1129.2</v>
      </c>
      <c r="G52" s="152">
        <v>2.5</v>
      </c>
      <c r="H52" s="152">
        <f>G52*E46/F52</f>
        <v>1.302470775770457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2"/>
      <c r="F53" s="152" t="s">
        <v>200</v>
      </c>
      <c r="G53" s="152" t="s">
        <v>201</v>
      </c>
      <c r="H53" s="152">
        <f>H52*G55</f>
        <v>27.351886291179596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2"/>
      <c r="F54" s="152">
        <v>1.17</v>
      </c>
      <c r="G54" s="152">
        <v>1.23</v>
      </c>
      <c r="H54" s="152"/>
    </row>
    <row r="55" spans="5:16">
      <c r="E55" s="152"/>
      <c r="F55" s="152"/>
      <c r="G55" s="152">
        <v>21</v>
      </c>
      <c r="H55" s="152"/>
    </row>
    <row r="56" spans="5:16">
      <c r="E56" s="152"/>
      <c r="F56" s="152"/>
      <c r="G56" s="152"/>
      <c r="H56" s="152"/>
    </row>
    <row r="57" spans="5:16">
      <c r="E57" s="152" t="s">
        <v>202</v>
      </c>
      <c r="F57" s="152"/>
      <c r="G57" s="152"/>
      <c r="H57" s="152"/>
    </row>
    <row r="58" spans="5:16">
      <c r="E58" s="152"/>
      <c r="F58" s="149">
        <f>F52</f>
        <v>1129.2</v>
      </c>
      <c r="G58" s="152">
        <v>7.4999999999999997E-2</v>
      </c>
      <c r="H58" s="152">
        <f>G58*F46</f>
        <v>10.987499999999999</v>
      </c>
    </row>
    <row r="59" spans="5:16">
      <c r="E59" s="152"/>
      <c r="F59" s="152" t="s">
        <v>200</v>
      </c>
      <c r="G59" s="152" t="s">
        <v>201</v>
      </c>
      <c r="H59" s="152">
        <f>H58/F58</f>
        <v>9.7303400637619546E-3</v>
      </c>
    </row>
    <row r="60" spans="5:16">
      <c r="E60" s="152"/>
      <c r="F60" s="152">
        <v>12.94</v>
      </c>
      <c r="G60" s="152">
        <v>13.45</v>
      </c>
      <c r="H60" s="152">
        <f>H59*G55</f>
        <v>0.20433714133900105</v>
      </c>
    </row>
    <row r="61" spans="5:16">
      <c r="E61" s="152" t="s">
        <v>203</v>
      </c>
      <c r="F61" s="152"/>
      <c r="G61" s="152"/>
      <c r="H61" s="152"/>
    </row>
    <row r="62" spans="5:16">
      <c r="E62" s="152"/>
      <c r="F62" s="149">
        <f>F52</f>
        <v>1129.2</v>
      </c>
      <c r="G62" s="152">
        <v>7.4999999999999997E-2</v>
      </c>
      <c r="H62" s="152">
        <f>G62*F46</f>
        <v>10.987499999999999</v>
      </c>
    </row>
    <row r="63" spans="5:16">
      <c r="E63" s="152"/>
      <c r="F63" s="152" t="s">
        <v>200</v>
      </c>
      <c r="G63" s="152" t="s">
        <v>201</v>
      </c>
      <c r="H63" s="152">
        <f>H62/F62</f>
        <v>9.7303400637619546E-3</v>
      </c>
    </row>
    <row r="64" spans="5:16">
      <c r="E64" s="152"/>
      <c r="F64" s="152">
        <v>15.73</v>
      </c>
      <c r="G64" s="152">
        <v>16.350000000000001</v>
      </c>
      <c r="H64" s="152">
        <f>H63*G55</f>
        <v>0.20433714133900105</v>
      </c>
    </row>
    <row r="65" spans="4:13" ht="18.75" customHeight="1">
      <c r="D65" s="102"/>
      <c r="E65" s="50"/>
      <c r="F65" s="51"/>
      <c r="G65" s="102"/>
      <c r="H65" s="102"/>
      <c r="I65" s="100"/>
      <c r="J65" s="100"/>
      <c r="K65" s="100"/>
      <c r="L65" s="100"/>
      <c r="M65" s="100"/>
    </row>
    <row r="66" spans="4:13" ht="18.75" customHeight="1">
      <c r="D66" s="102"/>
      <c r="E66" s="50"/>
      <c r="F66" s="51"/>
      <c r="G66" s="102"/>
      <c r="H66" s="102"/>
      <c r="I66" s="102"/>
      <c r="J66" s="102"/>
      <c r="M66" s="1"/>
    </row>
    <row r="67" spans="4:13" ht="18.75" customHeight="1">
      <c r="D67" s="102"/>
      <c r="E67" s="50"/>
      <c r="F67" s="51"/>
      <c r="G67" s="102"/>
      <c r="H67" s="102"/>
      <c r="I67" s="102"/>
      <c r="J67" s="102"/>
      <c r="M67" s="1"/>
    </row>
    <row r="68" spans="4:13" ht="18.75" customHeight="1">
      <c r="D68" s="102"/>
      <c r="E68" s="50"/>
      <c r="F68" s="51"/>
      <c r="G68" s="102"/>
      <c r="H68" s="102"/>
      <c r="I68" s="102"/>
      <c r="J68" s="102"/>
      <c r="M68" s="1"/>
    </row>
    <row r="69" spans="4:13" ht="18.75" customHeight="1">
      <c r="D69" s="102"/>
      <c r="E69" s="50"/>
      <c r="F69" s="51"/>
      <c r="G69" s="102"/>
      <c r="H69" s="102"/>
      <c r="I69" s="102"/>
      <c r="J69" s="102"/>
      <c r="M69" s="1"/>
    </row>
    <row r="70" spans="4:13" ht="18.75" customHeight="1">
      <c r="D70" s="102"/>
      <c r="E70" s="52"/>
      <c r="F70" s="53"/>
      <c r="G70" s="102"/>
      <c r="H70" s="102"/>
      <c r="I70" s="102"/>
      <c r="J70" s="102"/>
      <c r="M70" s="1"/>
    </row>
    <row r="71" spans="4:13" ht="18.75" customHeight="1">
      <c r="D71" s="102"/>
      <c r="E71" s="50"/>
      <c r="F71" s="51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65" sqref="C6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2" ht="15.75">
      <c r="A1" s="71"/>
      <c r="B1" s="72" t="s">
        <v>33</v>
      </c>
      <c r="E1" s="61" t="s">
        <v>176</v>
      </c>
      <c r="F1" s="61">
        <v>1139</v>
      </c>
      <c r="G1" s="127"/>
      <c r="H1" s="127"/>
      <c r="I1" s="127"/>
      <c r="J1" s="127"/>
      <c r="K1" s="127"/>
      <c r="L1" s="127"/>
    </row>
    <row r="2" spans="1:12" ht="15.75" customHeight="1">
      <c r="A2" s="71" t="s">
        <v>81</v>
      </c>
      <c r="B2" s="73" t="s">
        <v>2</v>
      </c>
      <c r="C2" s="84">
        <v>0</v>
      </c>
      <c r="D2" s="82" t="s">
        <v>58</v>
      </c>
      <c r="E2" s="122">
        <v>5.45</v>
      </c>
      <c r="F2" s="123" t="s">
        <v>177</v>
      </c>
      <c r="G2" s="128"/>
      <c r="H2" s="128"/>
      <c r="I2" s="128"/>
      <c r="J2" s="128"/>
      <c r="K2" s="129"/>
      <c r="L2" s="129"/>
    </row>
    <row r="3" spans="1:12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2" ht="15.75" customHeight="1">
      <c r="A4" s="71" t="s">
        <v>83</v>
      </c>
      <c r="B4" s="73" t="s">
        <v>4</v>
      </c>
      <c r="C4" s="84">
        <v>102324.98</v>
      </c>
      <c r="D4" s="82" t="s">
        <v>60</v>
      </c>
      <c r="E4" s="62"/>
      <c r="F4" s="62"/>
      <c r="G4" s="62"/>
      <c r="H4" s="62"/>
      <c r="I4" s="62"/>
      <c r="J4" s="62"/>
    </row>
    <row r="5" spans="1:12" ht="15.75" customHeight="1">
      <c r="A5" s="71" t="s">
        <v>84</v>
      </c>
      <c r="B5" s="73" t="s">
        <v>5</v>
      </c>
      <c r="C5" s="80">
        <f>SUM(C6:C8)</f>
        <v>271713.27</v>
      </c>
      <c r="D5" s="81" t="s">
        <v>59</v>
      </c>
      <c r="E5" s="62"/>
      <c r="F5" s="62"/>
      <c r="G5" s="62"/>
      <c r="H5" s="62"/>
      <c r="I5" s="62"/>
      <c r="J5" s="62"/>
    </row>
    <row r="6" spans="1:12" ht="15.75" customHeight="1">
      <c r="A6" s="71" t="s">
        <v>85</v>
      </c>
      <c r="B6" s="73" t="s">
        <v>6</v>
      </c>
      <c r="C6" s="84">
        <v>128167.08</v>
      </c>
      <c r="D6" s="82" t="s">
        <v>61</v>
      </c>
      <c r="E6" s="62"/>
      <c r="F6" s="62"/>
      <c r="G6" s="62"/>
      <c r="H6" s="62"/>
      <c r="I6" s="62"/>
      <c r="J6" s="62"/>
    </row>
    <row r="7" spans="1:12" ht="15.75" customHeight="1">
      <c r="A7" s="71" t="s">
        <v>86</v>
      </c>
      <c r="B7" s="73" t="s">
        <v>7</v>
      </c>
      <c r="C7" s="84">
        <f>F1*5.45*12</f>
        <v>74490.600000000006</v>
      </c>
      <c r="D7" s="82" t="s">
        <v>62</v>
      </c>
      <c r="E7" s="62"/>
      <c r="F7" s="62"/>
      <c r="G7" s="62"/>
      <c r="H7" s="62"/>
      <c r="I7" s="62"/>
      <c r="J7" s="62"/>
    </row>
    <row r="8" spans="1:12" ht="15.75" customHeight="1">
      <c r="A8" s="71" t="s">
        <v>87</v>
      </c>
      <c r="B8" s="73" t="s">
        <v>8</v>
      </c>
      <c r="C8" s="84">
        <v>69055.59</v>
      </c>
      <c r="D8" s="82" t="s">
        <v>63</v>
      </c>
      <c r="E8" s="62"/>
      <c r="F8" s="62"/>
      <c r="G8" s="62"/>
      <c r="H8" s="62"/>
      <c r="I8" s="62"/>
      <c r="J8" s="62"/>
    </row>
    <row r="9" spans="1:12" ht="15.75" customHeight="1">
      <c r="A9" s="71" t="s">
        <v>88</v>
      </c>
      <c r="B9" s="73" t="s">
        <v>9</v>
      </c>
      <c r="C9" s="80">
        <f>SUM(C10:C14)</f>
        <v>287212.94</v>
      </c>
      <c r="D9" s="81" t="s">
        <v>59</v>
      </c>
      <c r="E9" s="62"/>
      <c r="F9" s="62"/>
      <c r="G9" s="62"/>
      <c r="H9" s="62"/>
      <c r="I9" s="62"/>
      <c r="J9" s="62"/>
    </row>
    <row r="10" spans="1:12" ht="15.75" customHeight="1">
      <c r="A10" s="71" t="s">
        <v>89</v>
      </c>
      <c r="B10" s="73" t="s">
        <v>10</v>
      </c>
      <c r="C10" s="84">
        <v>287212.94</v>
      </c>
      <c r="D10" s="82" t="s">
        <v>64</v>
      </c>
      <c r="E10" s="62"/>
      <c r="F10" s="62"/>
      <c r="G10" s="62"/>
      <c r="H10" s="62"/>
      <c r="I10" s="62"/>
      <c r="J10" s="62"/>
    </row>
    <row r="11" spans="1:12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2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2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2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2" ht="15.75" customHeight="1">
      <c r="A15" s="71" t="s">
        <v>94</v>
      </c>
      <c r="B15" s="73" t="s">
        <v>15</v>
      </c>
      <c r="C15" s="80">
        <f>C9</f>
        <v>287212.94</v>
      </c>
      <c r="D15" s="81" t="s">
        <v>59</v>
      </c>
      <c r="E15" s="62"/>
      <c r="F15" s="62"/>
      <c r="G15" s="62"/>
      <c r="H15" s="62"/>
      <c r="I15" s="62"/>
      <c r="J15" s="62"/>
    </row>
    <row r="16" spans="1:12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86825.31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6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6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6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6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5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5"/>
      <c r="N26" s="64"/>
    </row>
    <row r="27" spans="1:15" ht="18.75" customHeight="1">
      <c r="A27" s="71" t="s">
        <v>104</v>
      </c>
      <c r="B27" s="76" t="s">
        <v>4</v>
      </c>
      <c r="C27" s="87">
        <v>376.08</v>
      </c>
      <c r="D27" s="82" t="s">
        <v>60</v>
      </c>
      <c r="E27" s="65"/>
      <c r="F27" s="65"/>
      <c r="G27" s="65"/>
      <c r="H27" s="65"/>
      <c r="I27" s="65"/>
      <c r="J27" s="65"/>
      <c r="M27" s="185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5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5"/>
      <c r="N29" s="64"/>
    </row>
    <row r="30" spans="1:15" ht="18.75" customHeight="1">
      <c r="A30" s="71" t="s">
        <v>107</v>
      </c>
      <c r="B30" s="76" t="s">
        <v>18</v>
      </c>
      <c r="C30" s="87">
        <v>-586.19000000000005</v>
      </c>
      <c r="D30" s="82" t="s">
        <v>66</v>
      </c>
      <c r="E30" s="65"/>
      <c r="F30" s="65"/>
      <c r="G30" s="65"/>
      <c r="H30" s="65"/>
      <c r="I30" s="65"/>
      <c r="J30" s="65"/>
      <c r="M30" s="185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5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5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5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5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21393.97</v>
      </c>
      <c r="F37" s="95" t="s">
        <v>166</v>
      </c>
      <c r="G37" s="67"/>
      <c r="H37" s="67"/>
      <c r="I37" s="67"/>
      <c r="L37" s="64"/>
      <c r="M37" s="184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17828.310000000001</v>
      </c>
      <c r="D38" s="95" t="s">
        <v>164</v>
      </c>
      <c r="E38" s="69"/>
      <c r="G38" s="68"/>
      <c r="H38" s="68"/>
      <c r="L38" s="64"/>
      <c r="M38" s="184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22356.240000000002</v>
      </c>
      <c r="D39" s="95" t="s">
        <v>165</v>
      </c>
      <c r="E39" s="69"/>
      <c r="G39" s="68"/>
      <c r="H39" s="68"/>
      <c r="L39" s="64"/>
      <c r="M39" s="184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4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21393.97</v>
      </c>
      <c r="D41" s="81" t="s">
        <v>59</v>
      </c>
      <c r="E41" s="69"/>
      <c r="G41" s="68"/>
      <c r="H41" s="68"/>
      <c r="L41" s="64"/>
      <c r="M41" s="184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21393.97</v>
      </c>
      <c r="D42" s="81" t="s">
        <v>59</v>
      </c>
      <c r="E42" s="69"/>
      <c r="G42" s="68"/>
      <c r="H42" s="68"/>
      <c r="L42" s="64"/>
      <c r="M42" s="184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4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4"/>
      <c r="N44" s="64"/>
      <c r="O44" s="64"/>
    </row>
    <row r="45" spans="1:15" ht="18.75">
      <c r="A45" s="74" t="s">
        <v>120</v>
      </c>
      <c r="B45" s="78" t="s">
        <v>54</v>
      </c>
      <c r="C45" s="97">
        <f>IF(E45&gt;0,"Предоставляется",0)</f>
        <v>0</v>
      </c>
      <c r="D45" s="97" t="s">
        <v>55</v>
      </c>
      <c r="E45" s="96">
        <v>0</v>
      </c>
      <c r="F45" s="95" t="s">
        <v>166</v>
      </c>
      <c r="G45" s="67"/>
      <c r="H45" s="67"/>
      <c r="L45" s="64"/>
      <c r="M45" s="184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0</v>
      </c>
      <c r="D46" s="95" t="s">
        <v>167</v>
      </c>
      <c r="E46" s="69"/>
      <c r="G46" s="68"/>
      <c r="H46" s="68"/>
      <c r="L46" s="64"/>
      <c r="M46" s="184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0</v>
      </c>
      <c r="D47" s="95" t="s">
        <v>165</v>
      </c>
      <c r="E47" s="69"/>
      <c r="G47" s="68"/>
      <c r="H47" s="68"/>
      <c r="L47" s="64"/>
      <c r="M47" s="184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4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184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184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4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4"/>
      <c r="N52" s="64"/>
      <c r="O52" s="64"/>
    </row>
    <row r="53" spans="1:15" ht="18.75">
      <c r="A53" s="74" t="s">
        <v>128</v>
      </c>
      <c r="B53" s="78" t="s">
        <v>56</v>
      </c>
      <c r="C53" s="97">
        <f>IF(E53&gt;0,"Предоставляется",0)</f>
        <v>0</v>
      </c>
      <c r="D53" s="97" t="s">
        <v>55</v>
      </c>
      <c r="E53" s="96">
        <v>0</v>
      </c>
      <c r="F53" s="95" t="s">
        <v>166</v>
      </c>
      <c r="G53" s="67"/>
      <c r="H53" s="67"/>
      <c r="L53" s="64"/>
      <c r="M53" s="184"/>
      <c r="N53" s="64"/>
      <c r="O53" s="64"/>
    </row>
    <row r="54" spans="1:15" ht="18.75" customHeight="1">
      <c r="A54" s="74" t="s">
        <v>129</v>
      </c>
      <c r="B54" s="76" t="s">
        <v>37</v>
      </c>
      <c r="C54" s="99">
        <v>0</v>
      </c>
      <c r="D54" s="95" t="s">
        <v>167</v>
      </c>
      <c r="E54" s="70"/>
      <c r="F54" s="90"/>
      <c r="G54" s="65"/>
      <c r="H54" s="65"/>
      <c r="L54" s="64"/>
      <c r="M54" s="184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0</v>
      </c>
      <c r="D55" s="95" t="s">
        <v>165</v>
      </c>
      <c r="E55" s="70"/>
      <c r="G55" s="65"/>
      <c r="H55" s="65"/>
      <c r="L55" s="64"/>
      <c r="M55" s="184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4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184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184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4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4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99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99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99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algorithmName="SHA-512" hashValue="CF+t1E2KLjCQ5uOdEhlfH/K90QOxUprqI9W+4Z8ozMWYtt8/PZjs+uLdF8zPntgwHrRwh2CMOboB5PNi4Jur2Q==" saltValue="HCVe5YDS2mNvkbFqh9c8rQ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5">
        <v>0</v>
      </c>
      <c r="D2" s="107" t="s">
        <v>67</v>
      </c>
      <c r="E2" s="65"/>
      <c r="F2" s="65"/>
      <c r="G2" s="65"/>
      <c r="H2" s="65"/>
      <c r="I2" s="65"/>
      <c r="J2" s="65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5">
        <v>0</v>
      </c>
      <c r="D3" s="107" t="s">
        <v>67</v>
      </c>
      <c r="E3" s="65"/>
      <c r="F3" s="65"/>
      <c r="G3" s="65"/>
      <c r="H3" s="65"/>
      <c r="I3" s="65"/>
      <c r="J3" s="65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6">
        <v>0</v>
      </c>
      <c r="D4" s="107" t="s">
        <v>67</v>
      </c>
      <c r="E4" s="65"/>
      <c r="F4" s="65"/>
      <c r="G4" s="65"/>
      <c r="H4" s="65"/>
      <c r="I4" s="65"/>
      <c r="J4" s="65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2022-03-25T07:36:30Z</dcterms:modified>
</cp:coreProperties>
</file>