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5" i="1" l="1"/>
  <c r="A119" i="1"/>
  <c r="A123" i="1"/>
  <c r="A118" i="1"/>
  <c r="D110" i="1"/>
  <c r="A112" i="1"/>
  <c r="A116" i="1"/>
  <c r="F110" i="1"/>
  <c r="A113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83" i="1"/>
  <c r="H175" i="1"/>
  <c r="F186" i="1"/>
  <c r="H183" i="1"/>
  <c r="H177" i="1"/>
  <c r="F177" i="1"/>
  <c r="F175" i="1"/>
  <c r="F171" i="1"/>
  <c r="H171" i="1"/>
  <c r="F168" i="1"/>
  <c r="H168" i="1"/>
  <c r="F167" i="1"/>
  <c r="H167" i="1"/>
  <c r="H166" i="1"/>
  <c r="F166" i="1"/>
  <c r="F165" i="1"/>
  <c r="H165" i="1"/>
  <c r="H169" i="1"/>
  <c r="H180" i="1"/>
  <c r="F173" i="1"/>
  <c r="F179" i="1"/>
  <c r="F181" i="1"/>
  <c r="H164" i="1"/>
  <c r="F187" i="1"/>
  <c r="F164" i="1"/>
  <c r="H172" i="1"/>
  <c r="F172" i="1"/>
  <c r="F169" i="1"/>
  <c r="F180" i="1"/>
  <c r="F176" i="1"/>
  <c r="H173" i="1"/>
  <c r="H176" i="1"/>
  <c r="F178" i="1"/>
  <c r="H178" i="1"/>
  <c r="H170" i="1"/>
  <c r="F182" i="1"/>
  <c r="H179" i="1"/>
  <c r="H185" i="1"/>
  <c r="H181" i="1"/>
  <c r="F185" i="1"/>
  <c r="F170" i="1"/>
  <c r="F184" i="1"/>
  <c r="H174" i="1"/>
  <c r="H187" i="1"/>
  <c r="H182" i="1"/>
  <c r="F174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<sst xmlns="http://schemas.openxmlformats.org/spreadsheetml/2006/main" count="563" uniqueCount="211">
  <si>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</si>
  <si>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</si>
  <si>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</si>
  <si>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</si>
  <si>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</si>
  <si>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</si>
  <si>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</si>
  <si>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</si>
  <si>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</si>
  <si>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</si>
  <si>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</si>
  <si>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</si>
  <si>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</si>
  <si>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</si>
  <si>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</si>
  <si>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</si>
  <si>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</si>
  <si>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</si>
  <si>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</si>
  <si>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</si>
  <si>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</si>
  <si>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</si>
  <si>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</si>
  <si>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</si>
  <si>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</si>
  <si>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</si>
  <si>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</si>
  <si>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</si>
  <si>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</si>
  <si>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</si>
  <si>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</si>
  <si>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</si>
  <si>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</si>
  <si>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</si>
  <si>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</si>
  <si>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</si>
  <si>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</si>
  <si>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</si>
  <si>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</si>
  <si>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</si>
  <si>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</si>
  <si>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</si>
  <si>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</si>
  <si>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</si>
  <si>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</si>
  <si>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</si>
  <si>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</si>
  <si>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</si>
  <si>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</si>
  <si>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</si>
  <si>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</si>
  <si>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</si>
  <si>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</si>
  <si>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</si>
  <si>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</si>
  <si>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</si>
  <si>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</si>
  <si>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</si>
  <si>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</si>
  <si>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</si>
  <si>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</si>
  <si>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</si>
  <si>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</si>
  <si>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</si>
  <si>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</si>
  <si>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</si>
  <si>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</si>
  <si>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</si>
  <si>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</si>
  <si>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</si>
  <si>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</si>
  <si>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</si>
  <si>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</si>
  <si>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</si>
  <si>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</si>
  <si>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</si>
  <si>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</si>
  <si>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</si>
  <si>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</si>
  <si>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</si>
  <si>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</si>
  <si>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</si>
  <si>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</si>
  <si>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</si>
  <si>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</si>
  <si>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</si>
  <si>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</si>
  <si>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</si>
  <si>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</si>
  <si>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</si>
  <si>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</si>
  <si>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</si>
  <si>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</si>
  <si>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</si>
  <si>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</si>
  <si>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</si>
  <si>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</si>
  <si>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</si>
  <si>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</si>
  <si>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</si>
  <si>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</si>
  <si>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</si>
  <si>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</si>
  <si>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</si>
  <si>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</si>
  <si>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</si>
  <si>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</si>
  <si>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</si>
  <si>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</si>
  <si>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</si>
  <si>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</si>
  <si>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</si>
  <si>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</si>
  <si>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</si>
  <si>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</si>
  <si>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</si>
  <si>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</si>
  <si>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</si>
  <si>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</si>
  <si>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</si>
  <si>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</si>
  <si>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</si>
  <si>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</si>
  <si>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</si>
  <si>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</si>
  <si>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</si>
  <si>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</si>
  <si>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</si>
  <si>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</si>
  <si>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</si>
  <si>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</si>
  <si>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</si>
  <si>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</si>
  <si>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</si>
  <si>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</si>
  <si>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</si>
  <si>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</si>
  <si>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</si>
  <si>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</si>
  <si>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</si>
  <si>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</si>
  <si>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</si>
  <si>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</si>
  <si>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</si>
  <si>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</si>
  <si>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</si>
  <si>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</si>
  <si>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</si>
  <si>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</si>
  <si>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</si>
  <si>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</si>
  <si>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</si>
  <si>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</si>
  <si>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</si>
  <si>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</si>
  <si>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</si>
  <si>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</si>
  <si>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</si>
  <si>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</si>
  <si>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</si>
  <si>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</si>
  <si>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</si>
  <si>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</si>
  <si>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</si>
  <si>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</si>
  <si>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</si>
  <si>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</si>
  <si>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</si>
  <si>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</si>
  <si>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</si>
  <si>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</si>
  <si>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</si>
  <si>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</si>
  <si>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</si>
  <si>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</si>
  <si>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Профсоюзная, 10</t>
  </si>
  <si>
    <t>Отчет об исполнении договора управления многоквартирного дома 
Профсоюзная, 10 в части текущего ремонта</t>
  </si>
  <si>
    <t>Работы (услуги) по управлению многоквартирным домом</t>
  </si>
  <si>
    <t>Техническое обслуживание охранной сигнализации.</t>
  </si>
  <si>
    <t>Техническое освидетельствование лифтов.</t>
  </si>
  <si>
    <t>ежемесячно</t>
  </si>
  <si>
    <t>ежегодно</t>
  </si>
  <si>
    <t>разово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</si>
  <si>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</si>
  <si>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</si>
  <si>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</si>
  <si>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ремонт подъезда (со стороны незадымляемой лестницы)</t>
  </si>
  <si>
    <t xml:space="preserve">  -  замена подъездной двери</t>
  </si>
  <si>
    <t xml:space="preserve">  -  ремонтно-восстановительные работы системы пожаротушения </t>
  </si>
  <si>
    <t xml:space="preserve">  -  благоустройство придомовой территории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</si>
  <si>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</si>
  <si>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</si>
  <si>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</si>
  <si>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</si>
  <si>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</si>
  <si>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поста кнопочной ревизии лифта.</t>
  </si>
  <si>
    <t>Изготовление и монтаж нащельников на тамбурные двери в подъезде.</t>
  </si>
  <si>
    <t>АВР 1/20 от 01.01.2020, Решение, счет №19210 от 26.12.2019</t>
  </si>
  <si>
    <t>Приобретение и установка таблички по пожарной безопасности.</t>
  </si>
  <si>
    <t>Приобретение новогодней елки и гирлянды.</t>
  </si>
  <si>
    <t>Приобретение и установка трансформаторов тока (9шт.)</t>
  </si>
  <si>
    <t>АВР 5/20 от 16.06.2020</t>
  </si>
  <si>
    <t>Замена блока питания системы видеонаблюдения.</t>
  </si>
  <si>
    <t>Ремонт прибора учета тепловой энергии.</t>
  </si>
  <si>
    <t>АВР2/20 от 01.01.2020</t>
  </si>
  <si>
    <t>АВР 3/20 от 10.01.2020, счет №Л482 от 07.10.2019</t>
  </si>
  <si>
    <t>АВР 4/20 от 12.03.2020, счет от 12.03.2020</t>
  </si>
  <si>
    <t>АВР 6/20 от 09.07.2020, Решение, счет№56 от 09.07.2020</t>
  </si>
  <si>
    <t>АВР 7/20 от 04.09.2020, счет №40 от 04.09.2020</t>
  </si>
  <si>
    <t>АВР 8/20 от 31.12.2020</t>
  </si>
  <si>
    <t>АВР 9/20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</si>
</sst>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2" fillId="0" borderId="0"/>
  </cellStyleXfs>
  <cellXfs count="18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22" fillId="0" borderId="0" xfId="5" applyNumberFormat="1" applyFont="1" applyFill="1" applyBorder="1" applyAlignment="1"/>
    <xf numFmtId="0" fontId="22" fillId="0" borderId="0" xfId="5" applyFont="1" applyFill="1" applyBorder="1" applyAlignment="1">
      <alignment horizontal="center"/>
    </xf>
    <xf numFmtId="1" fontId="8" fillId="0" borderId="0" xfId="5" applyNumberFormat="1" applyFill="1" applyBorder="1" applyAlignment="1">
      <alignment horizontal="center"/>
    </xf>
    <xf numFmtId="0" fontId="22" fillId="0" borderId="0" xfId="5" applyFont="1" applyFill="1" applyBorder="1" applyAlignment="1"/>
    <xf numFmtId="0" fontId="0" fillId="0" borderId="0" xfId="0" applyFill="1" applyBorder="1"/>
    <xf numFmtId="2" fontId="15" fillId="0" borderId="0" xfId="0" applyNumberFormat="1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wrapText="1"/>
    </xf>
    <xf numFmtId="0" fontId="6" fillId="0" borderId="0" xfId="5" applyFont="1" applyFill="1" applyBorder="1"/>
    <xf numFmtId="0" fontId="0" fillId="6" borderId="0" xfId="0" applyFill="1"/>
    <xf numFmtId="0" fontId="4" fillId="0" borderId="0" xfId="5" applyFont="1" applyFill="1" applyBorder="1"/>
    <xf numFmtId="0" fontId="0" fillId="6" borderId="0" xfId="0" applyFill="1" applyBorder="1"/>
    <xf numFmtId="0" fontId="1" fillId="6" borderId="0" xfId="5" applyFont="1" applyFill="1" applyBorder="1"/>
    <xf numFmtId="0" fontId="1" fillId="0" borderId="0" xfId="2" applyFont="1" applyFill="1" applyBorder="1" applyAlignment="1"/>
    <xf numFmtId="0" fontId="3" fillId="0" borderId="0" xfId="5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4" fontId="22" fillId="0" borderId="0" xfId="6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1" fontId="22" fillId="0" borderId="0" xfId="5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6" applyFont="1" applyFill="1" applyBorder="1" applyAlignment="1"/>
    <xf numFmtId="0" fontId="22" fillId="0" borderId="0" xfId="5" applyFont="1" applyFill="1" applyBorder="1"/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0" fontId="8" fillId="0" borderId="0" xfId="5" applyFill="1" applyBorder="1" applyAlignment="1">
      <alignment horizontal="center"/>
    </xf>
    <xf numFmtId="4" fontId="8" fillId="0" borderId="0" xfId="5" applyNumberFormat="1" applyFill="1" applyBorder="1" applyAlignment="1"/>
    <xf numFmtId="0" fontId="1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8" t="s">
        <v>175</v>
      </c>
      <c r="B2" s="168"/>
      <c r="C2" s="168"/>
      <c r="D2" s="168"/>
      <c r="E2" s="168"/>
      <c r="F2" s="168"/>
      <c r="G2" s="168"/>
      <c r="H2" s="168"/>
      <c r="I2" s="168"/>
      <c r="J2" s="16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09"/>
      <c r="L8" s="169"/>
      <c r="M8" s="109"/>
      <c r="N8" s="109"/>
      <c r="O8" s="70" t="s">
        <v>81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09"/>
      <c r="L9" s="169"/>
      <c r="M9" s="109"/>
      <c r="N9" s="109"/>
      <c r="O9" s="70" t="s">
        <v>82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337969.9</v>
      </c>
      <c r="K10" s="109"/>
      <c r="L10" s="169"/>
      <c r="M10" s="109"/>
      <c r="N10" s="109"/>
      <c r="O10" s="70" t="s">
        <v>83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1181196.31</v>
      </c>
      <c r="K11" s="109"/>
      <c r="L11" s="169"/>
      <c r="M11" s="109"/>
      <c r="N11" s="109"/>
      <c r="O11" s="70" t="s">
        <v>84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941322.30999999994</v>
      </c>
      <c r="K12" s="109"/>
      <c r="L12" s="169"/>
      <c r="M12" s="109"/>
      <c r="N12" s="109"/>
      <c r="O12" s="70" t="s">
        <v>85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239874</v>
      </c>
      <c r="K13" s="109"/>
      <c r="L13" s="169"/>
      <c r="M13" s="109"/>
      <c r="N13" s="109"/>
      <c r="O13" s="70" t="s">
        <v>86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09"/>
      <c r="L14" s="169"/>
      <c r="M14" s="109"/>
      <c r="N14" s="109"/>
      <c r="O14" s="70" t="s">
        <v>87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1085148.98</v>
      </c>
      <c r="K15" s="109"/>
      <c r="L15" s="169"/>
      <c r="M15" s="109"/>
      <c r="N15" s="109"/>
      <c r="O15" s="70" t="s">
        <v>88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1085148.98</v>
      </c>
      <c r="K16" s="109"/>
      <c r="L16" s="169"/>
      <c r="M16" s="109"/>
      <c r="N16" s="109"/>
      <c r="O16" s="70" t="s">
        <v>89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09"/>
      <c r="L17" s="169"/>
      <c r="M17" s="109"/>
      <c r="N17" s="109"/>
      <c r="O17" s="70" t="s">
        <v>90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09"/>
      <c r="L18" s="169"/>
      <c r="M18" s="109"/>
      <c r="N18" s="109"/>
      <c r="O18" s="70" t="s">
        <v>91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09"/>
      <c r="L19" s="169"/>
      <c r="M19" s="109"/>
      <c r="N19" s="109"/>
      <c r="O19" s="70" t="s">
        <v>92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09"/>
      <c r="L20" s="169"/>
      <c r="M20" s="109"/>
      <c r="N20" s="109"/>
      <c r="O20" s="70" t="s">
        <v>93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1085148.98</v>
      </c>
      <c r="K21" s="109"/>
      <c r="L21" s="169"/>
      <c r="M21" s="109"/>
      <c r="N21" s="109"/>
      <c r="O21" s="70" t="s">
        <v>94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09"/>
      <c r="L22" s="169"/>
      <c r="M22" s="109"/>
      <c r="N22" s="109"/>
      <c r="O22" s="70" t="s">
        <v>95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09"/>
      <c r="L23" s="169"/>
      <c r="M23" s="109"/>
      <c r="N23" s="109"/>
      <c r="O23" s="70" t="s">
        <v>96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434017.23</v>
      </c>
      <c r="K24" s="109"/>
      <c r="L24" s="16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1" t="s">
        <v>19</v>
      </c>
      <c r="B27" s="161"/>
      <c r="C27" s="161"/>
      <c r="D27" s="161"/>
      <c r="E27" s="161"/>
      <c r="F27" s="161" t="s">
        <v>20</v>
      </c>
      <c r="G27" s="161"/>
      <c r="H27" s="5" t="s">
        <v>57</v>
      </c>
      <c r="I27" s="161" t="s">
        <v>21</v>
      </c>
      <c r="J27" s="161"/>
      <c r="K27" s="109"/>
      <c r="L27" s="17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8">
        <f>VLOOKUP(A28,ПТО!$A$39:$D$53,2,FALSE)</f>
        <v>292166.52</v>
      </c>
      <c r="G28" s="158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3" t="str">
        <f>ПТО!A40</f>
        <v>Работы по содержанию лифта (лифтов)</v>
      </c>
      <c r="B29" s="153"/>
      <c r="C29" s="153"/>
      <c r="D29" s="153"/>
      <c r="E29" s="153"/>
      <c r="F29" s="158">
        <f>VLOOKUP(A29,ПТО!$A$39:$D$53,2,FALSE)</f>
        <v>135768.72</v>
      </c>
      <c r="G29" s="158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09"/>
      <c r="L29" s="17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8">
        <f>VLOOKUP(A30,ПТО!$A$39:$D$53,2,FALSE)</f>
        <v>75320.399999999994</v>
      </c>
      <c r="G30" s="158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8">
        <f>VLOOKUP(A31,ПТО!$A$39:$D$53,2,FALSE)</f>
        <v>57569.760000000002</v>
      </c>
      <c r="G31" s="158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8">
        <f>VLOOKUP(A33,ПТО!$A$39:$D$53,2,FALSE)</f>
        <v>15351.96</v>
      </c>
      <c r="G33" s="158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8">
        <f>VLOOKUP(A34,ПТО!$A$39:$D$53,2,FALSE)</f>
        <v>104105.28</v>
      </c>
      <c r="G34" s="158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3" t="str">
        <f>ПТО!A46</f>
        <v>Работы (услуги) по управлению многоквартирным домом</v>
      </c>
      <c r="B35" s="153"/>
      <c r="C35" s="153"/>
      <c r="D35" s="153"/>
      <c r="E35" s="153"/>
      <c r="F35" s="158">
        <f>VLOOKUP(A35,ПТО!$A$39:$D$53,2,FALSE)</f>
        <v>239874</v>
      </c>
      <c r="G35" s="158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09"/>
      <c r="L35" s="170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53">
        <f>ПТО!A47</f>
        <v>0</v>
      </c>
      <c r="B36" s="153"/>
      <c r="C36" s="153"/>
      <c r="D36" s="153"/>
      <c r="E36" s="153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09"/>
      <c r="L36" s="170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0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0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0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0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0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0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3" t="str">
        <f>ПТО!A2</f>
        <v>Техническое обслуживание охранной сигнализации.</v>
      </c>
      <c r="B43" s="153"/>
      <c r="C43" s="153"/>
      <c r="D43" s="153"/>
      <c r="E43" s="153"/>
      <c r="F43" s="158">
        <f>VLOOKUP(A43,ПТО!$A$2:$D$31,4,FALSE)</f>
        <v>12000</v>
      </c>
      <c r="G43" s="158"/>
      <c r="H43" s="19" t="str">
        <f>VLOOKUP(A43,ПТО!$A$2:$D$31,2,FALSE)</f>
        <v>ежемесячно</v>
      </c>
      <c r="I43" s="154">
        <f>VLOOKUP(A43,ПТО!$A$2:$D$31,3,FALSE)</f>
        <v>12</v>
      </c>
      <c r="J43" s="154"/>
      <c r="K43" s="109"/>
      <c r="L43" s="170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3" t="str">
        <f>ПТО!A3</f>
        <v>Техническое освидетельствование лифтов.</v>
      </c>
      <c r="B44" s="153"/>
      <c r="C44" s="153"/>
      <c r="D44" s="153"/>
      <c r="E44" s="153"/>
      <c r="F44" s="158">
        <f>VLOOKUP(A44,ПТО!$A$2:$D$31,4,FALSE)</f>
        <v>16200</v>
      </c>
      <c r="G44" s="158"/>
      <c r="H44" s="25" t="str">
        <f>VLOOKUP(A44,ПТО!$A$2:$D$31,2,FALSE)</f>
        <v>ежегодно</v>
      </c>
      <c r="I44" s="154">
        <f>VLOOKUP(A44,ПТО!$A$2:$D$31,3,FALSE)</f>
        <v>2</v>
      </c>
      <c r="J44" s="154"/>
      <c r="K44" s="109"/>
      <c r="L44" s="170"/>
      <c r="M44" s="116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53" t="str">
        <f>ПТО!A4</f>
        <v>Изготовление и монтаж нащельников на тамбурные двери в подъезде.</v>
      </c>
      <c r="B45" s="153"/>
      <c r="C45" s="153"/>
      <c r="D45" s="153"/>
      <c r="E45" s="153"/>
      <c r="F45" s="158">
        <f>VLOOKUP(A45,ПТО!$A$2:$D$31,4,FALSE)</f>
        <v>3467.76</v>
      </c>
      <c r="G45" s="158"/>
      <c r="H45" s="25" t="str">
        <f>VLOOKUP(A45,ПТО!$A$2:$D$31,2,FALSE)</f>
        <v>разово</v>
      </c>
      <c r="I45" s="154">
        <f>VLOOKUP(A45,ПТО!$A$2:$D$31,3,FALSE)</f>
        <v>3</v>
      </c>
      <c r="J45" s="154"/>
      <c r="K45" s="109"/>
      <c r="L45" s="170"/>
      <c r="M45" s="116"/>
      <c r="N45" s="109"/>
      <c r="O45" s="23" t="str">
        <f t="shared" si="1"/>
        <v>Изготовление и монтаж нащельников на тамбурные двери в подъезде.</v>
      </c>
      <c r="R45" s="22" t="s">
        <v>72</v>
      </c>
    </row>
    <row r="46" spans="1:18" ht="51" customHeight="1" outlineLevel="1">
      <c r="A46" s="153" t="str">
        <f>ПТО!A5</f>
        <v>Приобретение новогодней елки и гирлянды.</v>
      </c>
      <c r="B46" s="153"/>
      <c r="C46" s="153"/>
      <c r="D46" s="153"/>
      <c r="E46" s="153"/>
      <c r="F46" s="158">
        <f>VLOOKUP(A46,ПТО!$A$2:$D$31,4,FALSE)</f>
        <v>2037</v>
      </c>
      <c r="G46" s="158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0"/>
      <c r="M46" s="116"/>
      <c r="N46" s="109"/>
      <c r="O46" s="23" t="str">
        <f t="shared" si="1"/>
        <v>Приобретение новогодней елки и гирлянды.</v>
      </c>
      <c r="R46" s="22" t="s">
        <v>72</v>
      </c>
    </row>
    <row r="47" spans="1:18" ht="51" customHeight="1" outlineLevel="1">
      <c r="A47" s="153" t="str">
        <f>ПТО!A6</f>
        <v>Приобретение поста кнопочной ревизии лифта.</v>
      </c>
      <c r="B47" s="153"/>
      <c r="C47" s="153"/>
      <c r="D47" s="153"/>
      <c r="E47" s="153"/>
      <c r="F47" s="158">
        <f>VLOOKUP(A47,ПТО!$A$2:$D$31,4,FALSE)</f>
        <v>6450</v>
      </c>
      <c r="G47" s="158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0"/>
      <c r="M47" s="116"/>
      <c r="N47" s="109"/>
      <c r="O47" s="23" t="str">
        <f t="shared" si="1"/>
        <v>Приобретение поста кнопочной ревизии лифта.</v>
      </c>
      <c r="R47" s="22" t="s">
        <v>72</v>
      </c>
    </row>
    <row r="48" spans="1:18" ht="51" customHeight="1" outlineLevel="1">
      <c r="A48" s="153" t="str">
        <f>ПТО!A7</f>
        <v>Приобретение и установка таблички по пожарной безопасности.</v>
      </c>
      <c r="B48" s="153"/>
      <c r="C48" s="153"/>
      <c r="D48" s="153"/>
      <c r="E48" s="153"/>
      <c r="F48" s="158">
        <f>VLOOKUP(A48,ПТО!$A$2:$D$31,4,FALSE)</f>
        <v>250</v>
      </c>
      <c r="G48" s="158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0"/>
      <c r="M48" s="116"/>
      <c r="N48" s="109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53" t="str">
        <f>ПТО!A8</f>
        <v>Приобретение и установка трансформаторов тока (9шт.)</v>
      </c>
      <c r="B49" s="153"/>
      <c r="C49" s="153"/>
      <c r="D49" s="153"/>
      <c r="E49" s="153"/>
      <c r="F49" s="158">
        <f>VLOOKUP(A49,ПТО!$A$2:$D$31,4,FALSE)</f>
        <v>12133.45</v>
      </c>
      <c r="G49" s="158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0"/>
      <c r="M49" s="116"/>
      <c r="N49" s="109"/>
      <c r="O49" s="23" t="str">
        <f t="shared" si="1"/>
        <v>Приобретение и установка трансформаторов тока (9шт.)</v>
      </c>
      <c r="R49" s="22" t="s">
        <v>72</v>
      </c>
    </row>
    <row r="50" spans="1:18" ht="51" customHeight="1" outlineLevel="1">
      <c r="A50" s="153" t="str">
        <f>ПТО!A9</f>
        <v>Замена блока питания системы видеонаблюдения.</v>
      </c>
      <c r="B50" s="153"/>
      <c r="C50" s="153"/>
      <c r="D50" s="153"/>
      <c r="E50" s="153"/>
      <c r="F50" s="158">
        <f>VLOOKUP(A50,ПТО!$A$2:$D$31,4,FALSE)</f>
        <v>1800</v>
      </c>
      <c r="G50" s="158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09"/>
      <c r="L50" s="170"/>
      <c r="M50" s="116"/>
      <c r="N50" s="109"/>
      <c r="O50" s="23" t="str">
        <f t="shared" si="1"/>
        <v>Замена блока питания системы видеонаблюдения.</v>
      </c>
      <c r="R50" s="22" t="s">
        <v>72</v>
      </c>
    </row>
    <row r="51" spans="1:18" ht="51" customHeight="1" outlineLevel="1">
      <c r="A51" s="153" t="str">
        <f>ПТО!A10</f>
        <v>Ремонт прибора учета тепловой энергии.</v>
      </c>
      <c r="B51" s="153"/>
      <c r="C51" s="153"/>
      <c r="D51" s="153"/>
      <c r="E51" s="153"/>
      <c r="F51" s="158">
        <f>VLOOKUP(A51,ПТО!$A$2:$D$31,4,FALSE)</f>
        <v>3540</v>
      </c>
      <c r="G51" s="158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09"/>
      <c r="L51" s="170"/>
      <c r="M51" s="116"/>
      <c r="N51" s="109"/>
      <c r="O51" s="23" t="str">
        <f t="shared" si="1"/>
        <v>Ремонт прибора учета тепловой энергии.</v>
      </c>
      <c r="R51" s="22" t="s">
        <v>72</v>
      </c>
    </row>
    <row r="52" spans="1:18" ht="51" hidden="1" customHeight="1" outlineLevel="1">
      <c r="A52" s="153">
        <f>ПТО!A11</f>
        <v>0</v>
      </c>
      <c r="B52" s="153"/>
      <c r="C52" s="153"/>
      <c r="D52" s="153"/>
      <c r="E52" s="153"/>
      <c r="F52" s="158" t="e">
        <f>VLOOKUP(A52,ПТО!$A$2:$D$31,4,FALSE)</f>
        <v>#N/A</v>
      </c>
      <c r="G52" s="158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09"/>
      <c r="L52" s="170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3">
        <f>ПТО!A12</f>
        <v>0</v>
      </c>
      <c r="B53" s="153"/>
      <c r="C53" s="153"/>
      <c r="D53" s="153"/>
      <c r="E53" s="153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0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3">
        <f>ПТО!A13</f>
        <v>0</v>
      </c>
      <c r="B54" s="153"/>
      <c r="C54" s="153"/>
      <c r="D54" s="153"/>
      <c r="E54" s="153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0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0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0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0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0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0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0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0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0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0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0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0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0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0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0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0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0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0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09"/>
      <c r="L75" s="173"/>
      <c r="M75" s="109"/>
      <c r="N75" s="109"/>
      <c r="O75" s="70" t="s">
        <v>98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09"/>
      <c r="L76" s="173"/>
      <c r="M76" s="109"/>
      <c r="N76" s="109"/>
      <c r="O76" s="70" t="s">
        <v>99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09"/>
      <c r="L77" s="173"/>
      <c r="M77" s="109"/>
      <c r="N77" s="109"/>
      <c r="O77" s="70" t="s">
        <v>100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7">
        <f>VLOOKUP(O78,АО,3,FALSE)</f>
        <v>0</v>
      </c>
      <c r="K78" s="109"/>
      <c r="L78" s="173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7">
        <f t="shared" ref="J81:J90" si="2">VLOOKUP(O81,АО,3,FALSE)</f>
        <v>0</v>
      </c>
      <c r="K81" s="109"/>
      <c r="L81" s="159"/>
      <c r="M81" s="109"/>
      <c r="N81" s="109"/>
      <c r="O81" s="70" t="s">
        <v>102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7">
        <f t="shared" si="2"/>
        <v>0</v>
      </c>
      <c r="K82" s="109"/>
      <c r="L82" s="159"/>
      <c r="M82" s="109"/>
      <c r="N82" s="109"/>
      <c r="O82" s="70" t="s">
        <v>103</v>
      </c>
    </row>
    <row r="83" spans="1:15" outlineLevel="1">
      <c r="A83" s="165" t="s">
        <v>4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209494.03</v>
      </c>
      <c r="K83" s="109"/>
      <c r="L83" s="159"/>
      <c r="M83" s="109"/>
      <c r="N83" s="109"/>
      <c r="O83" s="70" t="s">
        <v>104</v>
      </c>
    </row>
    <row r="84" spans="1:15" outlineLevel="1">
      <c r="A84" s="165" t="s">
        <v>16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59"/>
      <c r="M84" s="109"/>
      <c r="N84" s="109"/>
      <c r="O84" s="70" t="s">
        <v>105</v>
      </c>
    </row>
    <row r="85" spans="1:15" outlineLevel="1">
      <c r="A85" s="165" t="s">
        <v>17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59"/>
      <c r="M85" s="109"/>
      <c r="N85" s="109"/>
      <c r="O85" s="70" t="s">
        <v>106</v>
      </c>
    </row>
    <row r="86" spans="1:15" outlineLevel="1">
      <c r="A86" s="165" t="s">
        <v>18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288535.46000000002</v>
      </c>
      <c r="K86" s="109"/>
      <c r="L86" s="159"/>
      <c r="M86" s="109"/>
      <c r="N86" s="109"/>
      <c r="O86" s="70" t="s">
        <v>107</v>
      </c>
    </row>
    <row r="87" spans="1:15" ht="18.75" customHeight="1" outlineLevel="1">
      <c r="A87" s="165" t="s">
        <v>27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09"/>
      <c r="L87" s="159"/>
      <c r="M87" s="109"/>
      <c r="N87" s="109"/>
      <c r="O87" s="70" t="s">
        <v>108</v>
      </c>
    </row>
    <row r="88" spans="1:15" ht="18.75" customHeight="1" outlineLevel="1">
      <c r="A88" s="165" t="s">
        <v>28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09"/>
      <c r="L88" s="159"/>
      <c r="M88" s="109"/>
      <c r="N88" s="109"/>
      <c r="O88" s="70" t="s">
        <v>109</v>
      </c>
    </row>
    <row r="89" spans="1:15" ht="18.75" customHeight="1" outlineLevel="1">
      <c r="A89" s="165" t="s">
        <v>29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09"/>
      <c r="L89" s="159"/>
      <c r="M89" s="109"/>
      <c r="N89" s="109"/>
      <c r="O89" s="70" t="s">
        <v>110</v>
      </c>
    </row>
    <row r="90" spans="1:15" ht="18.75" customHeight="1" outlineLevel="1">
      <c r="A90" s="165" t="s">
        <v>30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5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4" t="s">
        <v>48</v>
      </c>
      <c r="B93" s="174"/>
      <c r="C93" s="174"/>
      <c r="D93" s="175" t="s">
        <v>49</v>
      </c>
      <c r="E93" s="175"/>
      <c r="F93" s="10" t="s">
        <v>50</v>
      </c>
      <c r="G93" s="174" t="s">
        <v>51</v>
      </c>
      <c r="H93" s="174"/>
      <c r="I93" s="174"/>
      <c r="J93" s="174"/>
      <c r="K93" s="109"/>
      <c r="L93" s="109"/>
      <c r="M93" s="109"/>
      <c r="N93" s="109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7">
        <f>VLOOKUP("эл",АО,5,FALSE)</f>
        <v>57679.19</v>
      </c>
      <c r="H94" s="156"/>
      <c r="I94" s="156"/>
      <c r="J94" s="156"/>
      <c r="K94" s="1" t="str">
        <f>VLOOKUP("эл",АО,2,FALSE)</f>
        <v>Электроснабжение</v>
      </c>
      <c r="L94" s="160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50595.780701754389</v>
      </c>
      <c r="L95" s="160"/>
      <c r="O95" s="1" t="s">
        <v>112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50192.01999999999</v>
      </c>
      <c r="L96" s="160"/>
      <c r="O96" s="1" t="s">
        <v>113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7487.1700000000128</v>
      </c>
      <c r="L97" s="160"/>
      <c r="O97" s="1" t="s">
        <v>114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57679.19</v>
      </c>
      <c r="L98" s="160"/>
      <c r="O98" s="1" t="s">
        <v>115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57679.19</v>
      </c>
      <c r="L99" s="160"/>
      <c r="O99" s="1" t="s">
        <v>116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60"/>
      <c r="O100" s="1" t="s">
        <v>117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60"/>
      <c r="O101" s="1" t="s">
        <v>118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7">
        <f>VLOOKUP("хвс",АО,5,FALSE)</f>
        <v>91926.659999999989</v>
      </c>
      <c r="H102" s="156"/>
      <c r="I102" s="156"/>
      <c r="J102" s="156"/>
      <c r="L102" s="160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6794.2838137472281</v>
      </c>
      <c r="L103" s="160"/>
      <c r="O103" s="1" t="s">
        <v>121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80913.2</v>
      </c>
      <c r="L104" s="160"/>
      <c r="O104" s="1" t="s">
        <v>122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11013.459999999992</v>
      </c>
      <c r="L105" s="160"/>
      <c r="O105" s="1" t="s">
        <v>123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91926.659999999989</v>
      </c>
      <c r="L106" s="160"/>
      <c r="O106" s="1" t="s">
        <v>124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91926.659999999989</v>
      </c>
      <c r="L107" s="160"/>
      <c r="O107" s="1" t="s">
        <v>125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60"/>
      <c r="O108" s="1" t="s">
        <v>126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60"/>
      <c r="O109" s="1" t="s">
        <v>127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7">
        <f>VLOOKUP("воо",АО,5,FALSE)</f>
        <v>114313.26000000001</v>
      </c>
      <c r="H110" s="156"/>
      <c r="I110" s="156"/>
      <c r="J110" s="156"/>
      <c r="L110" s="160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7408.5068049254705</v>
      </c>
      <c r="L111" s="160"/>
      <c r="O111" s="1" t="s">
        <v>129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97166.940000000017</v>
      </c>
      <c r="L112" s="160"/>
      <c r="O112" s="1" t="s">
        <v>130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17146.319999999992</v>
      </c>
      <c r="L113" s="160"/>
      <c r="O113" s="1" t="s">
        <v>131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114313.26000000001</v>
      </c>
      <c r="L114" s="160"/>
      <c r="O114" s="1" t="s">
        <v>132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114313.26000000001</v>
      </c>
      <c r="L115" s="160"/>
      <c r="O115" s="1" t="s">
        <v>133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0"/>
      <c r="O116" s="1" t="s">
        <v>134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0"/>
      <c r="O117" s="1" t="s">
        <v>135</v>
      </c>
    </row>
    <row r="118" spans="1:15" ht="32.25" customHeight="1" outlineLevel="1">
      <c r="A118" s="155" t="str">
        <f>IF(VLOOKUP("тко",АО,3,FALSE)&gt;0,"Обращение с ТКО",0)</f>
        <v>Обращение с ТКО</v>
      </c>
      <c r="B118" s="155"/>
      <c r="C118" s="155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7">
        <f>VLOOKUP("тко",АО,5,FALSE)</f>
        <v>162194.39000000004</v>
      </c>
      <c r="H118" s="156"/>
      <c r="I118" s="156"/>
      <c r="J118" s="156"/>
      <c r="L118" s="47"/>
    </row>
    <row r="119" spans="1:15" ht="32.25" customHeight="1" outlineLevel="2">
      <c r="A119" s="151" t="str">
        <f t="shared" ref="A119:A125" si="8">IF(VLOOKUP("тко",АО,3,FALSE)&gt;0,VLOOKUP(O119,АО,2,FALSE),0)</f>
        <v>Общий объем потребления, нат. показ.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286.10253832177955</v>
      </c>
      <c r="L119" s="47"/>
      <c r="O119" s="1" t="s">
        <v>137</v>
      </c>
    </row>
    <row r="120" spans="1:15" ht="32.25" customHeight="1" outlineLevel="2">
      <c r="A120" s="151" t="str">
        <f t="shared" si="8"/>
        <v>Оплачено потребителями, руб.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161113.94000000003</v>
      </c>
      <c r="L120" s="47"/>
      <c r="O120" s="1" t="s">
        <v>138</v>
      </c>
    </row>
    <row r="121" spans="1:15" ht="32.25" customHeight="1" outlineLevel="2">
      <c r="A121" s="151" t="str">
        <f t="shared" si="8"/>
        <v>Задолженность потребителей, руб.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1080.4500000000116</v>
      </c>
      <c r="L121" s="47"/>
      <c r="O121" s="1" t="s">
        <v>139</v>
      </c>
    </row>
    <row r="122" spans="1:15" ht="32.25" customHeight="1" outlineLevel="2">
      <c r="A122" s="151" t="str">
        <f t="shared" si="8"/>
        <v>Начислено поставщиком (поставщиками) коммунального ресурса, руб.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162194.39000000004</v>
      </c>
      <c r="L122" s="47"/>
      <c r="O122" s="1" t="s">
        <v>140</v>
      </c>
    </row>
    <row r="123" spans="1:15" ht="32.25" customHeight="1" outlineLevel="2">
      <c r="A123" s="151" t="str">
        <f t="shared" si="8"/>
        <v>Оплачено поставщику (поставщикам) коммунального ресурса, руб.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162194.39000000004</v>
      </c>
      <c r="L123" s="47"/>
      <c r="O123" s="1" t="s">
        <v>141</v>
      </c>
    </row>
    <row r="124" spans="1:15" ht="32.25" customHeight="1" outlineLevel="2">
      <c r="A124" s="151" t="str">
        <f t="shared" si="8"/>
        <v>Задолженность перед поставщиком (поставщиками) коммунального ресурса, руб.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51" t="str">
        <f t="shared" si="8"/>
        <v>Размер пени и штрафов, уплаченных поставщику (поставщикам) коммунального ресурса, руб.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55" t="str">
        <f>IF(VLOOKUP("гвс",АО,3,FALSE)&gt;0,"Горячее водоснабжение",0)</f>
        <v>Горячее водоснабжение</v>
      </c>
      <c r="B126" s="155"/>
      <c r="C126" s="155"/>
      <c r="D126" s="156" t="str">
        <f>IF(VLOOKUP("гвс",АО,3,FALSE)&gt;0,VLOOKUP("гвс",АО,3,FALSE),0)</f>
        <v>Предоставляется</v>
      </c>
      <c r="E126" s="156"/>
      <c r="F126" s="13" t="str">
        <f>IF(VLOOKUP("гвс",АО,3,FALSE)&gt;0,VLOOKUP("гвс",АО,4,FALSE),0)</f>
        <v>куб.м.</v>
      </c>
      <c r="G126" s="157">
        <f>VLOOKUP("гвс",АО,5,FALSE)</f>
        <v>183607.40000000002</v>
      </c>
      <c r="H126" s="156"/>
      <c r="I126" s="156"/>
      <c r="J126" s="156"/>
      <c r="L126" s="47"/>
    </row>
    <row r="127" spans="1:15" ht="32.25" customHeight="1" outlineLevel="2">
      <c r="A127" s="151" t="str">
        <f t="shared" ref="A127:A133" si="10">IF(VLOOKUP("гвс",АО,3,FALSE)&gt;0,VLOOKUP(O127,АО,2,FALSE),0)</f>
        <v>Общий объем потребления, нат. показ.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2305.0372952808275</v>
      </c>
      <c r="L127" s="47"/>
      <c r="O127" s="1" t="s">
        <v>145</v>
      </c>
    </row>
    <row r="128" spans="1:15" ht="32.25" customHeight="1" outlineLevel="2">
      <c r="A128" s="151" t="str">
        <f t="shared" si="10"/>
        <v>Оплачено потребителями, руб.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170594.26000000004</v>
      </c>
      <c r="L128" s="47"/>
      <c r="O128" s="1" t="s">
        <v>146</v>
      </c>
    </row>
    <row r="129" spans="1:15" ht="32.25" customHeight="1" outlineLevel="2">
      <c r="A129" s="151" t="str">
        <f t="shared" si="10"/>
        <v>Задолженность потребителей, руб.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13013.139999999985</v>
      </c>
      <c r="L129" s="47"/>
      <c r="O129" s="1" t="s">
        <v>147</v>
      </c>
    </row>
    <row r="130" spans="1:15" ht="32.25" customHeight="1" outlineLevel="2">
      <c r="A130" s="151" t="str">
        <f t="shared" si="10"/>
        <v>Начислено поставщиком (поставщиками) коммунального ресурса, руб.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183607.40000000002</v>
      </c>
      <c r="L130" s="47"/>
      <c r="O130" s="1" t="s">
        <v>148</v>
      </c>
    </row>
    <row r="131" spans="1:15" ht="32.25" customHeight="1" outlineLevel="2">
      <c r="A131" s="151" t="str">
        <f t="shared" si="10"/>
        <v>Оплачено поставщику (поставщикам) коммунального ресурса, руб.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183607.40000000002</v>
      </c>
      <c r="L131" s="47"/>
      <c r="O131" s="1" t="s">
        <v>149</v>
      </c>
    </row>
    <row r="132" spans="1:15" ht="32.25" customHeight="1" outlineLevel="2">
      <c r="A132" s="151" t="str">
        <f t="shared" si="10"/>
        <v>Задолженность перед поставщиком (поставщиками) коммунального ресурса, руб.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51" t="str">
        <f t="shared" si="10"/>
        <v>Размер пени и штрафов, уплаченных поставщику (поставщикам) коммунального ресурса, руб.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7"/>
      <c r="O133" s="1" t="s">
        <v>151</v>
      </c>
    </row>
    <row r="134" spans="1:15" ht="32.25" customHeight="1" outlineLevel="1">
      <c r="A134" s="155" t="str">
        <f>IF(VLOOKUP("отопление",АО,3,FALSE)&gt;0,"Отопление",0)</f>
        <v>Отопление</v>
      </c>
      <c r="B134" s="155"/>
      <c r="C134" s="155"/>
      <c r="D134" s="156" t="str">
        <f>IF(VLOOKUP("отопление",АО,3,FALSE)&gt;0,VLOOKUP("отопление",АО,3,FALSE),0)</f>
        <v>Предоставляется</v>
      </c>
      <c r="E134" s="156"/>
      <c r="F134" s="13" t="str">
        <f>IF(VLOOKUP("отопление",АО,3,FALSE)&gt;0,VLOOKUP("отопление",АО,4,FALSE),0)</f>
        <v>Гкал</v>
      </c>
      <c r="G134" s="157">
        <f>VLOOKUP("отопление",АО,5,FALSE)</f>
        <v>308140.3000000001</v>
      </c>
      <c r="H134" s="156"/>
      <c r="I134" s="156"/>
      <c r="J134" s="156"/>
      <c r="L134" s="47"/>
    </row>
    <row r="135" spans="1:15" ht="32.25" customHeight="1" outlineLevel="2">
      <c r="A135" s="151" t="str">
        <f t="shared" ref="A135:A141" si="12">IF(VLOOKUP("отопление",АО,3,FALSE)&gt;0,VLOOKUP(O135,АО,2,FALSE),0)</f>
        <v>Общий объем потребления, нат. показ.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215.51</v>
      </c>
      <c r="L135" s="47"/>
      <c r="O135" s="1" t="s">
        <v>153</v>
      </c>
    </row>
    <row r="136" spans="1:15" ht="32.25" customHeight="1" outlineLevel="2">
      <c r="A136" s="151" t="str">
        <f t="shared" si="12"/>
        <v>Оплачено потребителями, руб.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278839.40999999997</v>
      </c>
      <c r="L136" s="47"/>
      <c r="O136" s="1" t="s">
        <v>154</v>
      </c>
    </row>
    <row r="137" spans="1:15" ht="32.25" customHeight="1" outlineLevel="2">
      <c r="A137" s="151" t="str">
        <f t="shared" si="12"/>
        <v>Задолженность потребителей, руб.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29300.89000000013</v>
      </c>
      <c r="L137" s="47"/>
      <c r="O137" s="1" t="s">
        <v>155</v>
      </c>
    </row>
    <row r="138" spans="1:15" ht="32.25" customHeight="1" outlineLevel="2">
      <c r="A138" s="151" t="str">
        <f t="shared" si="12"/>
        <v>Начислено поставщиком (поставщиками) коммунального ресурса, руб.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308140.3000000001</v>
      </c>
      <c r="L138" s="47"/>
      <c r="O138" s="1" t="s">
        <v>156</v>
      </c>
    </row>
    <row r="139" spans="1:15" ht="32.25" customHeight="1" outlineLevel="2">
      <c r="A139" s="151" t="str">
        <f t="shared" si="12"/>
        <v>Оплачено поставщику (поставщикам) коммунального ресурса, руб.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308140.3000000001</v>
      </c>
      <c r="L139" s="47"/>
      <c r="O139" s="1" t="s">
        <v>157</v>
      </c>
    </row>
    <row r="140" spans="1:15" ht="32.25" customHeight="1" outlineLevel="2">
      <c r="A140" s="151" t="str">
        <f t="shared" si="12"/>
        <v>Задолженность перед поставщиком (поставщиками) коммунального ресурса, руб.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7"/>
      <c r="O140" s="1" t="s">
        <v>158</v>
      </c>
    </row>
    <row r="141" spans="1:15" ht="32.25" customHeight="1" outlineLevel="2">
      <c r="A141" s="151" t="str">
        <f t="shared" si="12"/>
        <v>Размер пени и штрафов, уплаченных поставщику (поставщикам) коммунального ресурса, руб.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169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51" t="s">
        <v>172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121942.64</v>
      </c>
      <c r="O146" t="s">
        <v>171</v>
      </c>
    </row>
    <row r="149" spans="1:15" ht="52.5" customHeight="1">
      <c r="A149" s="176" t="s">
        <v>176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8" t="s">
        <v>190</v>
      </c>
      <c r="B154" s="178"/>
      <c r="C154" s="178"/>
      <c r="D154" s="178"/>
      <c r="E154" s="27">
        <f>ПТО!G1</f>
        <v>24055.3</v>
      </c>
    </row>
    <row r="155" spans="1:15" ht="34.5" customHeight="1">
      <c r="A155" s="177" t="s">
        <v>194</v>
      </c>
      <c r="B155" s="177"/>
      <c r="C155" s="177"/>
      <c r="D155" s="177"/>
      <c r="E155" s="28">
        <f>J13</f>
        <v>239874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19</v>
      </c>
      <c r="B157" s="161"/>
      <c r="C157" s="161"/>
      <c r="D157" s="161"/>
      <c r="E157" s="161"/>
      <c r="F157" s="161" t="s">
        <v>20</v>
      </c>
      <c r="G157" s="161"/>
      <c r="H157" s="20" t="s">
        <v>57</v>
      </c>
      <c r="I157" s="161" t="s">
        <v>21</v>
      </c>
      <c r="J157" s="161"/>
    </row>
    <row r="158" spans="1:15" ht="29.25" customHeight="1">
      <c r="A158" s="153" t="str">
        <f t="shared" ref="A158:A163" si="14">IF(N158&gt;0,N158,0)</f>
        <v>Техническое обслуживание охранной сигнализации.</v>
      </c>
      <c r="B158" s="153"/>
      <c r="C158" s="153"/>
      <c r="D158" s="153"/>
      <c r="E158" s="153"/>
      <c r="F158" s="158">
        <f t="shared" ref="F158:F163" si="15">IF(ISERROR(VLOOKUP(A158,$A$28:$J$72,6,FALSE)),0,VLOOKUP(A158,$A$28:$J$72,6,FALSE))</f>
        <v>12000</v>
      </c>
      <c r="G158" s="158"/>
      <c r="H158" s="24" t="str">
        <f t="shared" ref="H158:H187" si="16">VLOOKUP(A158,$A$28:$J$72,8,FALSE)</f>
        <v>ежемесячно</v>
      </c>
      <c r="I158" s="154">
        <f t="shared" ref="I158:I161" si="17">VLOOKUP(A158,$A$28:$J$72,9,FALSE)</f>
        <v>12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3" t="str">
        <f t="shared" si="14"/>
        <v>Техническое освидетельствование лифтов.</v>
      </c>
      <c r="B159" s="153"/>
      <c r="C159" s="153"/>
      <c r="D159" s="153"/>
      <c r="E159" s="153"/>
      <c r="F159" s="158">
        <f t="shared" si="15"/>
        <v>16200</v>
      </c>
      <c r="G159" s="158"/>
      <c r="H159" s="24" t="str">
        <f t="shared" si="16"/>
        <v>ежегодно</v>
      </c>
      <c r="I159" s="154">
        <f t="shared" si="17"/>
        <v>2</v>
      </c>
      <c r="J159" s="154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53" t="str">
        <f t="shared" si="14"/>
        <v>Изготовление и монтаж нащельников на тамбурные двери в подъезде.</v>
      </c>
      <c r="B160" s="153"/>
      <c r="C160" s="153"/>
      <c r="D160" s="153"/>
      <c r="E160" s="153"/>
      <c r="F160" s="158">
        <f t="shared" si="15"/>
        <v>3467.76</v>
      </c>
      <c r="G160" s="158"/>
      <c r="H160" s="24" t="str">
        <f t="shared" si="16"/>
        <v>разово</v>
      </c>
      <c r="I160" s="154">
        <f t="shared" si="17"/>
        <v>3</v>
      </c>
      <c r="J160" s="154"/>
      <c r="M160" s="22" t="s">
        <v>72</v>
      </c>
      <c r="N160" s="1" t="str">
        <v>Изготовление и монтаж нащельников на тамбурные двери в подъезде.</v>
      </c>
    </row>
    <row r="161" spans="1:14" ht="28.5" customHeight="1">
      <c r="A161" s="153" t="str">
        <f>IF(N161&gt;0,N161,0)</f>
        <v>Приобретение новогодней елки и гирлянды.</v>
      </c>
      <c r="B161" s="153"/>
      <c r="C161" s="153"/>
      <c r="D161" s="153"/>
      <c r="E161" s="153"/>
      <c r="F161" s="158">
        <f t="shared" si="15"/>
        <v>2037</v>
      </c>
      <c r="G161" s="158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Приобретение новогодней елки и гирлянды.</v>
      </c>
    </row>
    <row r="162" spans="1:14" ht="28.5" customHeight="1">
      <c r="A162" s="153" t="str">
        <f t="shared" si="14"/>
        <v>Приобретение поста кнопочной ревизии лифта.</v>
      </c>
      <c r="B162" s="153"/>
      <c r="C162" s="153"/>
      <c r="D162" s="153"/>
      <c r="E162" s="153"/>
      <c r="F162" s="158">
        <f t="shared" si="15"/>
        <v>6450</v>
      </c>
      <c r="G162" s="158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Приобретение поста кнопочной ревизии лифта.</v>
      </c>
    </row>
    <row r="163" spans="1:14" ht="28.5" customHeight="1">
      <c r="A163" s="153" t="str">
        <f t="shared" si="14"/>
        <v>Приобретение и установка таблички по пожарной безопасности.</v>
      </c>
      <c r="B163" s="153"/>
      <c r="C163" s="153"/>
      <c r="D163" s="153"/>
      <c r="E163" s="153"/>
      <c r="F163" s="158">
        <f t="shared" si="15"/>
        <v>250</v>
      </c>
      <c r="G163" s="158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53" t="str">
        <f t="shared" ref="A164:A187" si="18">IF(N164&gt;0,N164,0)</f>
        <v>Приобретение и установка трансформаторов тока (9шт.)</v>
      </c>
      <c r="B164" s="153"/>
      <c r="C164" s="153"/>
      <c r="D164" s="153"/>
      <c r="E164" s="153"/>
      <c r="F164" s="158">
        <f t="shared" ref="F164:F187" si="19">IF(ISERROR(VLOOKUP(A164,$A$28:$J$72,6,FALSE)),0,VLOOKUP(A164,$A$28:$J$72,6,FALSE))</f>
        <v>12133.45</v>
      </c>
      <c r="G164" s="158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Приобретение и установка трансформаторов тока (9шт.)</v>
      </c>
    </row>
    <row r="165" spans="1:14" ht="28.5" customHeight="1">
      <c r="A165" s="153" t="str">
        <f t="shared" si="18"/>
        <v>Замена блока питания системы видеонаблюдения.</v>
      </c>
      <c r="B165" s="153"/>
      <c r="C165" s="153"/>
      <c r="D165" s="153"/>
      <c r="E165" s="153"/>
      <c r="F165" s="158">
        <f t="shared" si="19"/>
        <v>1800</v>
      </c>
      <c r="G165" s="158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Замена блока питания системы видеонаблюдения.</v>
      </c>
    </row>
    <row r="166" spans="1:14" ht="28.5" customHeight="1">
      <c r="A166" s="153" t="str">
        <f t="shared" si="18"/>
        <v>Ремонт прибора учета тепловой энергии.</v>
      </c>
      <c r="B166" s="153"/>
      <c r="C166" s="153"/>
      <c r="D166" s="153"/>
      <c r="E166" s="153"/>
      <c r="F166" s="158">
        <f t="shared" si="19"/>
        <v>3540</v>
      </c>
      <c r="G166" s="158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Ремонт прибора учета тепловой энергии.</v>
      </c>
    </row>
    <row r="167" spans="1:14" ht="28.5" hidden="1" customHeight="1">
      <c r="A167" s="153">
        <f t="shared" si="18"/>
        <v>0</v>
      </c>
      <c r="B167" s="153"/>
      <c r="C167" s="153"/>
      <c r="D167" s="153"/>
      <c r="E167" s="153"/>
      <c r="F167" s="158">
        <f t="shared" si="19"/>
        <v>0</v>
      </c>
      <c r="G167" s="158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3">
        <f t="shared" si="18"/>
        <v>0</v>
      </c>
      <c r="B168" s="153"/>
      <c r="C168" s="153"/>
      <c r="D168" s="153"/>
      <c r="E168" s="153"/>
      <c r="F168" s="158">
        <f t="shared" si="19"/>
        <v>0</v>
      </c>
      <c r="G168" s="158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3">
        <f t="shared" si="18"/>
        <v>0</v>
      </c>
      <c r="B169" s="153"/>
      <c r="C169" s="153"/>
      <c r="D169" s="153"/>
      <c r="E169" s="153"/>
      <c r="F169" s="158">
        <f t="shared" si="19"/>
        <v>0</v>
      </c>
      <c r="G169" s="158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8">
        <f t="shared" si="19"/>
        <v>0</v>
      </c>
      <c r="G170" s="158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8">
        <f t="shared" si="19"/>
        <v>0</v>
      </c>
      <c r="G171" s="158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8">
        <f t="shared" si="19"/>
        <v>0</v>
      </c>
      <c r="G172" s="158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8">
        <f t="shared" si="19"/>
        <v>0</v>
      </c>
      <c r="G173" s="158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8">
        <f t="shared" si="19"/>
        <v>0</v>
      </c>
      <c r="G174" s="158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8">
        <f t="shared" si="19"/>
        <v>0</v>
      </c>
      <c r="G175" s="158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8">
        <f t="shared" si="19"/>
        <v>0</v>
      </c>
      <c r="G176" s="158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8">
        <f t="shared" si="19"/>
        <v>0</v>
      </c>
      <c r="G177" s="158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8">
        <f t="shared" si="19"/>
        <v>0</v>
      </c>
      <c r="G178" s="158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8">
        <f t="shared" si="19"/>
        <v>0</v>
      </c>
      <c r="G179" s="158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8">
        <f t="shared" si="19"/>
        <v>0</v>
      </c>
      <c r="G180" s="158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8">
        <f t="shared" si="19"/>
        <v>0</v>
      </c>
      <c r="G181" s="158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8">
        <f t="shared" si="19"/>
        <v>0</v>
      </c>
      <c r="G182" s="158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8">
        <f t="shared" si="19"/>
        <v>0</v>
      </c>
      <c r="G183" s="158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8">
        <f t="shared" si="19"/>
        <v>0</v>
      </c>
      <c r="G184" s="158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8">
        <f t="shared" si="19"/>
        <v>0</v>
      </c>
      <c r="G185" s="158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8">
        <f t="shared" si="19"/>
        <v>0</v>
      </c>
      <c r="G186" s="158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8">
        <f t="shared" si="19"/>
        <v>0</v>
      </c>
      <c r="G187" s="158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8" t="s">
        <v>193</v>
      </c>
      <c r="B190" s="178"/>
      <c r="C190" s="178"/>
      <c r="D190" s="178"/>
      <c r="E190" s="27">
        <f>SUM(F158:G187)</f>
        <v>57878.210000000006</v>
      </c>
    </row>
    <row r="191" spans="1:14" ht="51.75" customHeight="1">
      <c r="A191" s="178" t="s">
        <v>192</v>
      </c>
      <c r="B191" s="178"/>
      <c r="C191" s="178"/>
      <c r="D191" s="178"/>
      <c r="E191" s="27">
        <f>E190+E154-E155</f>
        <v>-157940.49</v>
      </c>
    </row>
    <row r="192" spans="1:14">
      <c r="A192" s="104" t="s">
        <v>173</v>
      </c>
    </row>
    <row r="193" spans="1:10" ht="62.25" customHeight="1">
      <c r="A193" s="152" t="s">
        <v>191</v>
      </c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1:10">
      <c r="A194" s="150" t="str">
        <f>ПТО!F12</f>
        <v xml:space="preserve">  -  поверка (замена) манометров и термометров</v>
      </c>
      <c r="B194" s="150"/>
      <c r="C194" s="150"/>
      <c r="D194" s="150"/>
      <c r="E194" s="150"/>
      <c r="F194" s="150"/>
      <c r="G194" s="150"/>
      <c r="H194" s="49">
        <f>ПТО!G12</f>
        <v>1200</v>
      </c>
      <c r="I194" s="50" t="s">
        <v>74</v>
      </c>
    </row>
    <row r="195" spans="1:10" ht="18.75" customHeight="1">
      <c r="A195" s="150" t="str">
        <f>ПТО!F13</f>
        <v xml:space="preserve">  -  техническое освидетельствование лифтов</v>
      </c>
      <c r="B195" s="150"/>
      <c r="C195" s="150"/>
      <c r="D195" s="150"/>
      <c r="E195" s="150"/>
      <c r="F195" s="150"/>
      <c r="G195" s="150"/>
      <c r="H195" s="49">
        <f>ПТО!G13</f>
        <v>16200</v>
      </c>
      <c r="I195" s="50" t="s">
        <v>74</v>
      </c>
    </row>
    <row r="196" spans="1:10" ht="18.75" customHeight="1">
      <c r="A196" s="150" t="str">
        <f>ПТО!F14</f>
        <v xml:space="preserve">  -  техническое обслуживание охранной сигнализации</v>
      </c>
      <c r="B196" s="150"/>
      <c r="C196" s="150"/>
      <c r="D196" s="150"/>
      <c r="E196" s="150"/>
      <c r="F196" s="150"/>
      <c r="G196" s="150"/>
      <c r="H196" s="49">
        <f>ПТО!G14</f>
        <v>12000</v>
      </c>
      <c r="I196" s="50" t="s">
        <v>74</v>
      </c>
    </row>
    <row r="197" spans="1:10" ht="18.75" customHeight="1">
      <c r="A197" s="150" t="str">
        <f>ПТО!F15</f>
        <v xml:space="preserve">  -  ремонт подъезда (со стороны незадымляемой лестницы)</v>
      </c>
      <c r="B197" s="150"/>
      <c r="C197" s="150"/>
      <c r="D197" s="150"/>
      <c r="E197" s="150"/>
      <c r="F197" s="150"/>
      <c r="G197" s="150"/>
      <c r="H197" s="49">
        <f>ПТО!G15</f>
        <v>200000</v>
      </c>
      <c r="I197" s="50" t="s">
        <v>74</v>
      </c>
    </row>
    <row r="198" spans="1:10" ht="18.75" customHeight="1">
      <c r="A198" s="150" t="str">
        <f>ПТО!F16</f>
        <v xml:space="preserve">  -  замена подъездной двери</v>
      </c>
      <c r="B198" s="150"/>
      <c r="C198" s="150"/>
      <c r="D198" s="150"/>
      <c r="E198" s="150"/>
      <c r="F198" s="150"/>
      <c r="G198" s="150"/>
      <c r="H198" s="49">
        <f>ПТО!G16</f>
        <v>30000</v>
      </c>
      <c r="I198" s="52" t="s">
        <v>74</v>
      </c>
    </row>
    <row r="199" spans="1:10" ht="18.75" customHeight="1">
      <c r="A199" s="150" t="str">
        <f>ПТО!F17</f>
        <v xml:space="preserve">  -  ремонтно-восстановительные работы системы пожаротушения </v>
      </c>
      <c r="B199" s="150"/>
      <c r="C199" s="150"/>
      <c r="D199" s="150"/>
      <c r="E199" s="150"/>
      <c r="F199" s="150"/>
      <c r="G199" s="150"/>
      <c r="H199" s="49">
        <f>ПТО!G17</f>
        <v>50000</v>
      </c>
      <c r="I199" s="50" t="s">
        <v>74</v>
      </c>
    </row>
    <row r="200" spans="1:10">
      <c r="A200" s="150" t="str">
        <f>ПТО!F18</f>
        <v xml:space="preserve">  -  благоустройство придомовой территории</v>
      </c>
      <c r="B200" s="150"/>
      <c r="C200" s="150"/>
      <c r="D200" s="150"/>
      <c r="E200" s="150"/>
      <c r="F200" s="150"/>
      <c r="G200" s="150"/>
      <c r="H200" s="49">
        <f>ПТО!G18</f>
        <v>5000</v>
      </c>
      <c r="I200" s="50" t="s">
        <v>74</v>
      </c>
    </row>
    <row r="201" spans="1:10" hidden="1">
      <c r="A201" s="150">
        <f>ПТО!F19</f>
        <v>0</v>
      </c>
      <c r="B201" s="150"/>
      <c r="C201" s="150"/>
      <c r="D201" s="150"/>
      <c r="E201" s="150"/>
      <c r="F201" s="150"/>
      <c r="G201" s="150"/>
      <c r="H201" s="49">
        <f>ПТО!G19</f>
        <v>0</v>
      </c>
      <c r="I201" s="50" t="s">
        <v>74</v>
      </c>
    </row>
    <row r="202" spans="1:10" hidden="1">
      <c r="A202" s="150">
        <f>ПТО!F20</f>
        <v>0</v>
      </c>
      <c r="B202" s="150"/>
      <c r="C202" s="150"/>
      <c r="D202" s="150"/>
      <c r="E202" s="150"/>
      <c r="F202" s="150"/>
      <c r="G202" s="150"/>
      <c r="H202" s="49">
        <f>ПТО!G20</f>
        <v>0</v>
      </c>
      <c r="I202" s="50" t="s">
        <v>74</v>
      </c>
    </row>
    <row r="203" spans="1:10" hidden="1">
      <c r="A203" s="150">
        <f>ПТО!F21</f>
        <v>0</v>
      </c>
      <c r="B203" s="150"/>
      <c r="C203" s="150"/>
      <c r="D203" s="150"/>
      <c r="E203" s="150"/>
      <c r="F203" s="150"/>
      <c r="G203" s="150"/>
      <c r="H203" s="49">
        <f>ПТО!G21</f>
        <v>0</v>
      </c>
      <c r="I203" s="50" t="s">
        <v>74</v>
      </c>
    </row>
    <row r="204" spans="1:10" hidden="1">
      <c r="A204" s="150">
        <f>ПТО!F22</f>
        <v>0</v>
      </c>
      <c r="B204" s="150"/>
      <c r="C204" s="150"/>
      <c r="D204" s="150"/>
      <c r="E204" s="150"/>
      <c r="F204" s="150"/>
      <c r="G204" s="150"/>
      <c r="H204" s="49">
        <f>ПТО!G22</f>
        <v>0</v>
      </c>
      <c r="I204" s="50" t="s">
        <v>74</v>
      </c>
    </row>
    <row r="205" spans="1:10" hidden="1">
      <c r="A205" s="150">
        <f>ПТО!F23</f>
        <v>0</v>
      </c>
      <c r="B205" s="150"/>
      <c r="C205" s="150"/>
      <c r="D205" s="150"/>
      <c r="E205" s="150"/>
      <c r="F205" s="150"/>
      <c r="G205" s="150"/>
      <c r="H205" s="49">
        <f>ПТО!G23</f>
        <v>0</v>
      </c>
      <c r="I205" s="50" t="s">
        <v>74</v>
      </c>
    </row>
    <row r="206" spans="1:10" hidden="1">
      <c r="A206" s="150">
        <f>ПТО!F24</f>
        <v>0</v>
      </c>
      <c r="B206" s="150"/>
      <c r="C206" s="150"/>
      <c r="D206" s="150"/>
      <c r="E206" s="150"/>
      <c r="F206" s="150"/>
      <c r="G206" s="150"/>
      <c r="H206" s="49">
        <f>ПТО!G24</f>
        <v>0</v>
      </c>
      <c r="I206" s="50" t="s">
        <v>74</v>
      </c>
    </row>
    <row r="207" spans="1:10" hidden="1">
      <c r="A207" s="150">
        <f>ПТО!F25</f>
        <v>0</v>
      </c>
      <c r="B207" s="150"/>
      <c r="C207" s="150"/>
      <c r="D207" s="150"/>
      <c r="E207" s="150"/>
      <c r="F207" s="150"/>
      <c r="G207" s="150"/>
      <c r="H207" s="49">
        <f>ПТО!G25</f>
        <v>0</v>
      </c>
      <c r="I207" s="50" t="s">
        <v>74</v>
      </c>
    </row>
    <row r="208" spans="1:10" hidden="1">
      <c r="A208" s="150">
        <f>ПТО!F26</f>
        <v>0</v>
      </c>
      <c r="B208" s="150"/>
      <c r="C208" s="150"/>
      <c r="D208" s="150"/>
      <c r="E208" s="150"/>
      <c r="F208" s="150"/>
      <c r="G208" s="150"/>
      <c r="H208" s="49">
        <f>ПТО!G26</f>
        <v>0</v>
      </c>
      <c r="I208" s="50" t="s">
        <v>74</v>
      </c>
    </row>
    <row r="209" spans="1:9" hidden="1">
      <c r="A209" s="150">
        <f>ПТО!F27</f>
        <v>0</v>
      </c>
      <c r="B209" s="150"/>
      <c r="C209" s="150"/>
      <c r="D209" s="150"/>
      <c r="E209" s="150"/>
      <c r="F209" s="150"/>
      <c r="G209" s="150"/>
      <c r="H209" s="49">
        <f>ПТО!G27</f>
        <v>0</v>
      </c>
      <c r="I209" s="50" t="s">
        <v>74</v>
      </c>
    </row>
    <row r="210" spans="1:9" hidden="1">
      <c r="A210" s="150">
        <f>ПТО!F28</f>
        <v>0</v>
      </c>
      <c r="B210" s="150"/>
      <c r="C210" s="150"/>
      <c r="D210" s="150"/>
      <c r="E210" s="150"/>
      <c r="F210" s="150"/>
      <c r="G210" s="150"/>
      <c r="H210" s="49">
        <f>ПТО!G28</f>
        <v>0</v>
      </c>
      <c r="I210" s="50" t="s">
        <v>74</v>
      </c>
    </row>
    <row r="211" spans="1:9" hidden="1">
      <c r="A211" s="150">
        <f>ПТО!F29</f>
        <v>0</v>
      </c>
      <c r="B211" s="150"/>
      <c r="C211" s="150"/>
      <c r="D211" s="150"/>
      <c r="E211" s="150"/>
      <c r="F211" s="150"/>
      <c r="G211" s="150"/>
      <c r="H211" s="49">
        <f>ПТО!G29</f>
        <v>0</v>
      </c>
      <c r="I211" s="50" t="s">
        <v>74</v>
      </c>
    </row>
    <row r="212" spans="1:9" hidden="1">
      <c r="A212" s="150">
        <f>ПТО!F30</f>
        <v>0</v>
      </c>
      <c r="B212" s="150"/>
      <c r="C212" s="150"/>
      <c r="D212" s="150"/>
      <c r="E212" s="150"/>
      <c r="F212" s="150"/>
      <c r="G212" s="150"/>
      <c r="H212" s="49">
        <f>ПТО!G30</f>
        <v>0</v>
      </c>
      <c r="I212" s="50" t="s">
        <v>74</v>
      </c>
    </row>
    <row r="213" spans="1:9" hidden="1">
      <c r="A213" s="150">
        <f>ПТО!F31</f>
        <v>0</v>
      </c>
      <c r="B213" s="150"/>
      <c r="C213" s="150"/>
      <c r="D213" s="150"/>
      <c r="E213" s="150"/>
      <c r="F213" s="150"/>
      <c r="G213" s="150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314400</v>
      </c>
      <c r="I214" s="56" t="s">
        <v>76</v>
      </c>
    </row>
  </sheetData>
  <sheetProtection algorithmName="SHA-512" hashValue="34jg2ViGH3crI6n4lWQeXj6arLgyBIh32jNggzItalaJqfLo3BXzQIS6zeH47bibAJcpTqBLKRAHqg4RyGi+mw==" saltValue="SSrPdhCRk50hGmsEpuWBh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190</v>
      </c>
      <c r="G1" s="101">
        <f>24055.3</f>
        <v>24055.3</v>
      </c>
    </row>
    <row r="2" spans="1:12" ht="18.75" customHeight="1">
      <c r="A2" s="140" t="s">
        <v>178</v>
      </c>
      <c r="B2" s="119" t="s">
        <v>180</v>
      </c>
      <c r="C2" s="119">
        <v>12</v>
      </c>
      <c r="D2" s="118">
        <v>12000</v>
      </c>
      <c r="E2" s="129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179</v>
      </c>
      <c r="B3" s="141" t="s">
        <v>181</v>
      </c>
      <c r="C3" s="142">
        <v>2</v>
      </c>
      <c r="D3" s="143">
        <v>16200</v>
      </c>
      <c r="E3" s="129" t="s">
        <v>210</v>
      </c>
      <c r="F3" s="30"/>
      <c r="G3" s="30"/>
      <c r="L3" s="33" t="str">
        <f t="shared" si="0"/>
        <v>ТР</v>
      </c>
    </row>
    <row r="4" spans="1:12" ht="32.25" customHeight="1">
      <c r="A4" s="125" t="s">
        <v>196</v>
      </c>
      <c r="B4" s="124" t="s">
        <v>182</v>
      </c>
      <c r="C4" s="120">
        <v>3</v>
      </c>
      <c r="D4" s="118">
        <v>3467.76</v>
      </c>
      <c r="E4" s="126" t="s">
        <v>197</v>
      </c>
      <c r="F4" s="30"/>
      <c r="G4" s="30"/>
      <c r="L4" s="33" t="str">
        <f t="shared" si="0"/>
        <v>ТР</v>
      </c>
    </row>
    <row r="5" spans="1:12" ht="18.75" customHeight="1">
      <c r="A5" s="144" t="s">
        <v>199</v>
      </c>
      <c r="B5" s="145" t="s">
        <v>182</v>
      </c>
      <c r="C5" s="120">
        <v>1</v>
      </c>
      <c r="D5" s="118">
        <v>2037</v>
      </c>
      <c r="E5" s="130" t="s">
        <v>204</v>
      </c>
      <c r="F5" s="44"/>
      <c r="G5" s="44"/>
      <c r="K5" s="46"/>
      <c r="L5" s="33" t="str">
        <f t="shared" si="0"/>
        <v>ТР</v>
      </c>
    </row>
    <row r="6" spans="1:12" ht="18.75" customHeight="1">
      <c r="A6" s="144" t="s">
        <v>195</v>
      </c>
      <c r="B6" s="124" t="s">
        <v>182</v>
      </c>
      <c r="C6" s="120">
        <v>1</v>
      </c>
      <c r="D6" s="118">
        <v>6450</v>
      </c>
      <c r="E6" s="130" t="s">
        <v>205</v>
      </c>
      <c r="F6" s="44"/>
      <c r="G6" s="44"/>
      <c r="K6" s="46"/>
      <c r="L6" s="33" t="str">
        <f t="shared" si="0"/>
        <v>ТР</v>
      </c>
    </row>
    <row r="7" spans="1:12" ht="18.75" customHeight="1">
      <c r="A7" s="146" t="s">
        <v>198</v>
      </c>
      <c r="B7" s="147" t="s">
        <v>182</v>
      </c>
      <c r="C7" s="148">
        <v>1</v>
      </c>
      <c r="D7" s="149">
        <v>250</v>
      </c>
      <c r="E7" s="127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200</v>
      </c>
      <c r="B8" s="119" t="s">
        <v>182</v>
      </c>
      <c r="C8" s="119">
        <v>1</v>
      </c>
      <c r="D8" s="118">
        <v>12133.45</v>
      </c>
      <c r="E8" s="128" t="s">
        <v>201</v>
      </c>
      <c r="F8" s="45"/>
      <c r="G8" s="45"/>
      <c r="K8" s="43"/>
      <c r="L8" s="33" t="str">
        <f t="shared" si="0"/>
        <v>ТР</v>
      </c>
    </row>
    <row r="9" spans="1:12">
      <c r="A9" s="121" t="s">
        <v>202</v>
      </c>
      <c r="B9" s="119" t="s">
        <v>182</v>
      </c>
      <c r="C9" s="119">
        <v>1</v>
      </c>
      <c r="D9" s="118">
        <v>1800</v>
      </c>
      <c r="E9" s="130" t="s">
        <v>207</v>
      </c>
      <c r="F9" s="44"/>
      <c r="G9" s="44"/>
      <c r="K9" s="43"/>
      <c r="L9" s="33" t="str">
        <f t="shared" si="0"/>
        <v>ТР</v>
      </c>
    </row>
    <row r="10" spans="1:12">
      <c r="A10" s="131" t="s">
        <v>203</v>
      </c>
      <c r="B10" s="132" t="s">
        <v>182</v>
      </c>
      <c r="C10" s="120">
        <v>1</v>
      </c>
      <c r="D10" s="46">
        <v>3540</v>
      </c>
      <c r="E10" s="129" t="s">
        <v>208</v>
      </c>
      <c r="F10" s="122"/>
      <c r="L10" s="33" t="str">
        <f t="shared" si="0"/>
        <v>ТР</v>
      </c>
    </row>
    <row r="11" spans="1:12" ht="94.5">
      <c r="A11" s="32"/>
      <c r="B11" s="119"/>
      <c r="C11" s="136"/>
      <c r="D11" s="46"/>
      <c r="E11" s="137"/>
      <c r="F11" s="111" t="s">
        <v>191</v>
      </c>
      <c r="G11" s="111"/>
      <c r="L11" s="33">
        <f t="shared" si="0"/>
        <v>0</v>
      </c>
    </row>
    <row r="12" spans="1:12" ht="31.5">
      <c r="A12" s="138"/>
      <c r="B12" s="133"/>
      <c r="C12" s="133"/>
      <c r="D12" s="134"/>
      <c r="E12" s="135"/>
      <c r="F12" s="112" t="s">
        <v>73</v>
      </c>
      <c r="G12" s="113">
        <v>1200</v>
      </c>
      <c r="L12" s="33">
        <f t="shared" si="0"/>
        <v>0</v>
      </c>
    </row>
    <row r="13" spans="1:12" ht="31.5">
      <c r="A13" s="32"/>
      <c r="B13" s="119"/>
      <c r="C13" s="119"/>
      <c r="D13" s="118"/>
      <c r="E13" s="139"/>
      <c r="F13" s="112" t="s">
        <v>185</v>
      </c>
      <c r="G13" s="113">
        <v>16200</v>
      </c>
      <c r="L13" s="33">
        <f t="shared" si="0"/>
        <v>0</v>
      </c>
    </row>
    <row r="14" spans="1:12" ht="31.5">
      <c r="A14" s="32"/>
      <c r="B14" s="119"/>
      <c r="C14" s="119"/>
      <c r="D14" s="118"/>
      <c r="E14" s="139"/>
      <c r="F14" s="112" t="s">
        <v>184</v>
      </c>
      <c r="G14" s="114">
        <v>12000</v>
      </c>
      <c r="L14" s="33">
        <f t="shared" si="0"/>
        <v>0</v>
      </c>
    </row>
    <row r="15" spans="1:12" ht="31.5">
      <c r="A15" s="30"/>
      <c r="F15" s="112" t="s">
        <v>186</v>
      </c>
      <c r="G15" s="114">
        <v>200000</v>
      </c>
      <c r="L15" s="33">
        <f t="shared" si="0"/>
        <v>0</v>
      </c>
    </row>
    <row r="16" spans="1:12" ht="15.75">
      <c r="A16" s="30"/>
      <c r="F16" s="112" t="s">
        <v>187</v>
      </c>
      <c r="G16" s="113">
        <v>30000</v>
      </c>
      <c r="L16" s="33">
        <f t="shared" si="0"/>
        <v>0</v>
      </c>
    </row>
    <row r="17" spans="1:12" ht="31.5">
      <c r="A17" s="30"/>
      <c r="F17" s="112" t="s">
        <v>188</v>
      </c>
      <c r="G17" s="113">
        <v>50000</v>
      </c>
      <c r="L17" s="33">
        <f t="shared" si="0"/>
        <v>0</v>
      </c>
    </row>
    <row r="18" spans="1:12" ht="31.5">
      <c r="A18" s="30"/>
      <c r="F18" s="123" t="s">
        <v>189</v>
      </c>
      <c r="G18" s="113">
        <v>5000</v>
      </c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 ht="15.75">
      <c r="A20" s="30"/>
      <c r="F20" s="123"/>
      <c r="G20" s="11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292166.52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292166.52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135768.72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135768.72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75320.399999999994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75320.399999999994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57569.760000000002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57569.760000000002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15351.96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15351.96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104105.28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104105.28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239874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239874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l/+tntf8v+LSj1InnhhP3DcDXeNUxPwd557I7JhIXIeAgRuNuQBYShD0saW9BcyaNwvQtQ3ha26GYxfoQugwjA==" saltValue="vnUyFSqMoqxZg3noNDRy0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86" sqref="D8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3997.9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337969.9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1181196.31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941322.30999999994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239874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1085148.98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1085148.98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1085148.98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434017.23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104</v>
      </c>
      <c r="B27" s="75" t="s">
        <v>4</v>
      </c>
      <c r="C27" s="86">
        <v>209494.03</v>
      </c>
      <c r="D27" s="81" t="s">
        <v>60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107</v>
      </c>
      <c r="B30" s="75" t="s">
        <v>18</v>
      </c>
      <c r="C30" s="86">
        <v>288535.46000000002</v>
      </c>
      <c r="D30" s="81" t="s">
        <v>66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57679.19</v>
      </c>
      <c r="F37" s="94" t="s">
        <v>166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50595.780701754389</v>
      </c>
      <c r="D38" s="94" t="s">
        <v>164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50192.01999999999</v>
      </c>
      <c r="D39" s="94" t="s">
        <v>165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7487.1700000000128</v>
      </c>
      <c r="D40" s="80" t="s">
        <v>59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57679.19</v>
      </c>
      <c r="D41" s="80" t="s">
        <v>59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57679.19</v>
      </c>
      <c r="D42" s="80" t="s">
        <v>59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91926.659999999989</v>
      </c>
      <c r="F45" s="94" t="s">
        <v>166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6794.2838137472281</v>
      </c>
      <c r="D46" s="94" t="s">
        <v>167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80913.2</v>
      </c>
      <c r="D47" s="94" t="s">
        <v>165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11013.459999999992</v>
      </c>
      <c r="D48" s="80" t="s">
        <v>59</v>
      </c>
      <c r="E48" s="68"/>
      <c r="G48" s="67"/>
      <c r="H48" s="67"/>
      <c r="L48" s="63"/>
      <c r="M48" s="179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91926.659999999989</v>
      </c>
      <c r="D49" s="80" t="s">
        <v>59</v>
      </c>
      <c r="E49" s="68"/>
      <c r="G49" s="67"/>
      <c r="H49" s="67"/>
      <c r="L49" s="63"/>
      <c r="M49" s="179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91926.659999999989</v>
      </c>
      <c r="D50" s="80" t="s">
        <v>59</v>
      </c>
      <c r="E50" s="68"/>
      <c r="G50" s="67"/>
      <c r="H50" s="67"/>
      <c r="L50" s="63"/>
      <c r="M50" s="179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114313.26000000001</v>
      </c>
      <c r="F53" s="94" t="s">
        <v>166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7408.5068049254705</v>
      </c>
      <c r="D54" s="94" t="s">
        <v>167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97166.940000000017</v>
      </c>
      <c r="D55" s="94" t="s">
        <v>165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17146.319999999992</v>
      </c>
      <c r="D56" s="80" t="s">
        <v>59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114313.26000000001</v>
      </c>
      <c r="D57" s="80" t="s">
        <v>59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114313.26000000001</v>
      </c>
      <c r="D58" s="80" t="s">
        <v>59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55</v>
      </c>
      <c r="E61" s="95">
        <v>162194.39000000004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286.10253832177955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161113.94000000003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1080.4500000000116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162194.39000000004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162194.39000000004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183607.40000000002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2305.0372952808275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170594.26000000004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13013.139999999985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183607.40000000002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183607.40000000002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 t="str">
        <f>IF(E77&gt;0,"Предоставляется",0)</f>
        <v>Предоставляется</v>
      </c>
      <c r="D77" s="96" t="s">
        <v>80</v>
      </c>
      <c r="E77" s="95">
        <v>308140.3000000001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215.51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278839.40999999997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29300.89000000013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308140.3000000001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308140.3000000001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121942.64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2021-03-31T08:39:19Z</dcterms:modified>
</cp:coreProperties>
</file>