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D3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3" i="1"/>
  <c r="G110" i="1"/>
  <c r="F110" i="1"/>
  <c r="A110" i="1"/>
  <c r="J109" i="1"/>
  <c r="J104" i="1"/>
  <c r="J103" i="1"/>
  <c r="A109" i="1"/>
  <c r="A105" i="1"/>
  <c r="G102" i="1"/>
  <c r="J101" i="1"/>
  <c r="J96" i="1"/>
  <c r="J95" i="1"/>
  <c r="A101" i="1"/>
  <c r="A100" i="1"/>
  <c r="A97" i="1"/>
  <c r="G94" i="1"/>
  <c r="F94" i="1"/>
  <c r="D94" i="1"/>
  <c r="K94" i="1"/>
  <c r="A119" i="1" l="1"/>
  <c r="A115" i="1"/>
  <c r="A123" i="1"/>
  <c r="A111" i="1"/>
  <c r="A117" i="1"/>
  <c r="A118" i="1"/>
  <c r="A120" i="1"/>
  <c r="F118" i="1"/>
  <c r="A121" i="1"/>
  <c r="A125" i="1"/>
  <c r="D118" i="1"/>
  <c r="A124" i="1"/>
  <c r="D110" i="1"/>
  <c r="A112" i="1"/>
  <c r="F102" i="1"/>
  <c r="A96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<sst xmlns="http://schemas.openxmlformats.org/spreadsheetml/2006/main" count="567" uniqueCount="212">
  <si>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</si>
  <si>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</si>
  <si>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</si>
  <si>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</si>
  <si>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</si>
  <si>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</si>
  <si>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</si>
  <si>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</si>
  <si>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</si>
  <si>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</si>
  <si>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</si>
  <si>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</si>
  <si>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</si>
  <si>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</si>
  <si>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</si>
  <si>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</si>
  <si>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</si>
  <si>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</si>
  <si>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</si>
  <si>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</si>
  <si>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</si>
  <si>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</si>
  <si>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</si>
  <si>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</si>
  <si>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</si>
  <si>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</si>
  <si>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</si>
  <si>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</si>
  <si>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</si>
  <si>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</si>
  <si>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</si>
  <si>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</si>
  <si>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</si>
  <si>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</si>
  <si>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</si>
  <si>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</si>
  <si>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</si>
  <si>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</si>
  <si>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</si>
  <si>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</si>
  <si>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</si>
  <si>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</si>
  <si>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</si>
  <si>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</si>
  <si>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</si>
  <si>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</si>
  <si>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</si>
  <si>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</si>
  <si>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</si>
  <si>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</si>
  <si>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</si>
  <si>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</si>
  <si>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</si>
  <si>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</si>
  <si>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</si>
  <si>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</si>
  <si>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</si>
  <si>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</si>
  <si>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</si>
  <si>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</si>
  <si>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</si>
  <si>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</si>
  <si>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</si>
  <si>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</si>
  <si>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</si>
  <si>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</si>
  <si>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</si>
  <si>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</si>
  <si>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</si>
  <si>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</si>
  <si>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</si>
  <si>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</si>
  <si>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</si>
  <si>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</si>
  <si>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</si>
  <si>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</si>
  <si>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</si>
  <si>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</si>
  <si>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</si>
  <si>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</si>
  <si>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</si>
  <si>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</si>
  <si>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</si>
  <si>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</si>
  <si>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</si>
  <si>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</si>
  <si>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</si>
  <si>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</si>
  <si>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</si>
  <si>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</si>
  <si>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</si>
  <si>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</si>
  <si>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</si>
  <si>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</si>
  <si>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</si>
  <si>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</si>
  <si>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</si>
  <si>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</si>
  <si>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</si>
  <si>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</si>
  <si>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</si>
  <si>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</si>
  <si>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</si>
  <si>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</si>
  <si>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</si>
  <si>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</si>
  <si>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</si>
  <si>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</si>
  <si>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</si>
  <si>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</si>
  <si>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</si>
  <si>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</si>
  <si>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</si>
  <si>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</si>
  <si>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</si>
  <si>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</si>
  <si>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</si>
  <si>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</si>
  <si>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</si>
  <si>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</si>
  <si>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</si>
  <si>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</si>
  <si>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</si>
  <si>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</si>
  <si>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</si>
  <si>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</si>
  <si>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</si>
  <si>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</si>
  <si>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</si>
  <si>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</si>
  <si>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</si>
  <si>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</si>
  <si>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</si>
  <si>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</si>
  <si>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</si>
  <si>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</si>
  <si>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</si>
  <si>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</si>
  <si>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</si>
  <si>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</si>
  <si>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</si>
  <si>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</si>
  <si>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</si>
  <si>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</si>
  <si>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</si>
  <si>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</si>
  <si>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</si>
  <si>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</si>
  <si>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</si>
  <si>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</si>
  <si>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</si>
  <si>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</si>
  <si>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</si>
  <si>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</si>
  <si>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</si>
  <si>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</si>
  <si>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</si>
  <si>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</si>
  <si>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</si>
  <si>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</si>
  <si>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</si>
  <si>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</si>
  <si>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</si>
  <si>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</si>
  <si>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</si>
  <si>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</si>
  <si>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</si>
  <si>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</si>
  <si>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</si>
  <si>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</si>
  <si>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</si>
  <si>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</si>
  <si>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</si>
  <si>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</si>
  <si>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</si>
  <si>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</si>
  <si>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</si>
  <si>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</si>
  <si>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244/6</t>
  </si>
  <si>
    <t>Техническое обслуживание видеонаблюдения.</t>
  </si>
  <si>
    <t>ежегодно</t>
  </si>
  <si>
    <t>ежемесячно</t>
  </si>
  <si>
    <t>разово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</si>
  <si>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</si>
  <si>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</si>
  <si>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Байкальская, 244/6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</si>
  <si>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</si>
  <si>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</si>
  <si>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</si>
  <si>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</si>
  <si>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</si>
  <si>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</si>
  <si>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</si>
  <si>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Ремонт прибора учета тепловой энергии.</t>
  </si>
  <si>
    <t>Механизированная уборка и вывоз снега с придомовой территории.</t>
  </si>
  <si>
    <t>АВР 1/20 от 26.03.2020, счет №11 от 10.03.2020</t>
  </si>
  <si>
    <t>Замена светильников в кабине лифта (630 кг).</t>
  </si>
  <si>
    <t>АВР 2/20 от 30.03.2020</t>
  </si>
  <si>
    <t>АВР 3/20 от 14.04.2020, счет от 12.03.2020</t>
  </si>
  <si>
    <t>Благоустройство придомовой территории (покраска бордюр, перил, крыльца).</t>
  </si>
  <si>
    <t>АВР 4/20 от 07.08.2020</t>
  </si>
  <si>
    <t>АВР 5/20 от 08.09.2020, Акт №58 от 12.05.2020</t>
  </si>
  <si>
    <t>Замена блока питания системы видеонаблюдения.</t>
  </si>
  <si>
    <t>Замена контактора (станция управления) для пассажирского лифта.</t>
  </si>
  <si>
    <t>АВР 6/20 от 02.09.2020</t>
  </si>
  <si>
    <t>Замена блока питания прибора учета тепловой энергии.</t>
  </si>
  <si>
    <t>счет №354 от 11.12.2020</t>
  </si>
  <si>
    <t>Замена светильников в подъезде.</t>
  </si>
  <si>
    <t>АВР 7/20 от 02.12.2020</t>
  </si>
  <si>
    <t>Замена платы питания (НКУ) пассажирского лифта.</t>
  </si>
  <si>
    <t>АВР 8/20 от 02.12.2020</t>
  </si>
  <si>
    <t>АВР 9/20 от 16.12.2020, счет №76 от 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</si>
</sst>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6" fillId="0" borderId="0" xfId="5" applyFill="1" applyBorder="1" applyAlignment="1">
      <alignment horizontal="center"/>
    </xf>
    <xf numFmtId="0" fontId="20" fillId="0" borderId="0" xfId="5" applyFont="1" applyFill="1" applyBorder="1" applyAlignment="1"/>
    <xf numFmtId="4" fontId="6" fillId="0" borderId="0" xfId="5" applyNumberFormat="1" applyFill="1" applyBorder="1" applyAlignment="1"/>
    <xf numFmtId="0" fontId="20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6" borderId="0" xfId="6" applyFont="1" applyFill="1" applyBorder="1" applyAlignment="1"/>
    <xf numFmtId="0" fontId="2" fillId="6" borderId="0" xfId="7" applyFont="1" applyFill="1" applyBorder="1" applyAlignment="1">
      <alignment horizontal="center"/>
    </xf>
    <xf numFmtId="0" fontId="2" fillId="6" borderId="0" xfId="7" applyFill="1" applyBorder="1" applyAlignment="1">
      <alignment horizontal="center"/>
    </xf>
    <xf numFmtId="4" fontId="2" fillId="6" borderId="0" xfId="6" applyNumberFormat="1" applyFill="1" applyBorder="1" applyAlignment="1"/>
    <xf numFmtId="0" fontId="2" fillId="6" borderId="0" xfId="6" applyFont="1" applyFill="1" applyBorder="1"/>
    <xf numFmtId="0" fontId="1" fillId="0" borderId="0" xfId="5" applyFont="1" applyFill="1" applyBorder="1"/>
    <xf numFmtId="0" fontId="1" fillId="0" borderId="0" xfId="2" applyFont="1" applyFill="1" applyBorder="1" applyAlignment="1"/>
    <xf numFmtId="0" fontId="6" fillId="6" borderId="0" xfId="5" applyFill="1" applyBorder="1" applyAlignment="1"/>
    <xf numFmtId="0" fontId="6" fillId="6" borderId="0" xfId="5" applyFill="1" applyBorder="1" applyAlignment="1">
      <alignment horizontal="center"/>
    </xf>
    <xf numFmtId="4" fontId="20" fillId="6" borderId="0" xfId="5" applyNumberFormat="1" applyFont="1" applyFill="1" applyBorder="1" applyAlignment="1"/>
    <xf numFmtId="0" fontId="6" fillId="6" borderId="0" xfId="5" applyFill="1" applyBorder="1"/>
    <xf numFmtId="0" fontId="20" fillId="6" borderId="0" xfId="5" applyFont="1" applyFill="1" applyBorder="1" applyAlignment="1"/>
    <xf numFmtId="0" fontId="20" fillId="6" borderId="0" xfId="5" applyFont="1" applyFill="1" applyBorder="1" applyAlignment="1">
      <alignment horizontal="center"/>
    </xf>
    <xf numFmtId="4" fontId="6" fillId="6" borderId="0" xfId="5" applyNumberForma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 2" xfId="7"/>
    <cellStyle name="Обычный 5" xfId="5"/>
    <cellStyle name="Обычный 5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67" t="s">
        <v>178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191</v>
      </c>
      <c r="E4" s="116">
        <v>43831</v>
      </c>
      <c r="K4" s="108"/>
      <c r="L4" s="108"/>
      <c r="M4" s="108"/>
      <c r="N4" s="108"/>
    </row>
    <row r="5" spans="1:18">
      <c r="A5" s="1" t="s">
        <v>0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61" t="s">
        <v>1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8"/>
      <c r="L8" s="168"/>
      <c r="M8" s="108"/>
      <c r="N8" s="108"/>
      <c r="O8" s="69" t="s">
        <v>83</v>
      </c>
      <c r="R8" s="16"/>
    </row>
    <row r="9" spans="1:18" ht="18.75" customHeight="1" outlineLevel="1">
      <c r="A9" s="161" t="s">
        <v>2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8"/>
      <c r="L9" s="168"/>
      <c r="M9" s="108"/>
      <c r="N9" s="108"/>
      <c r="O9" s="69" t="s">
        <v>84</v>
      </c>
    </row>
    <row r="10" spans="1:18" ht="18.75" customHeight="1" outlineLevel="1">
      <c r="A10" s="161" t="s">
        <v>3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49536.770000000019</v>
      </c>
      <c r="K10" s="108"/>
      <c r="L10" s="168"/>
      <c r="M10" s="108"/>
      <c r="N10" s="108"/>
      <c r="O10" s="69" t="s">
        <v>85</v>
      </c>
    </row>
    <row r="11" spans="1:18" outlineLevel="1">
      <c r="A11" s="161" t="s">
        <v>4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662756.25999999989</v>
      </c>
      <c r="K11" s="108"/>
      <c r="L11" s="168"/>
      <c r="M11" s="108"/>
      <c r="N11" s="108"/>
      <c r="O11" s="69" t="s">
        <v>86</v>
      </c>
    </row>
    <row r="12" spans="1:18" ht="18.75" customHeight="1" outlineLevel="1">
      <c r="A12" s="161" t="s">
        <v>5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501814.29999999993</v>
      </c>
      <c r="K12" s="108"/>
      <c r="L12" s="168"/>
      <c r="M12" s="108"/>
      <c r="N12" s="108"/>
      <c r="O12" s="69" t="s">
        <v>87</v>
      </c>
    </row>
    <row r="13" spans="1:18" ht="18.75" customHeight="1" outlineLevel="1">
      <c r="A13" s="161" t="s">
        <v>6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160941.96</v>
      </c>
      <c r="K13" s="108"/>
      <c r="L13" s="168"/>
      <c r="M13" s="108"/>
      <c r="N13" s="108"/>
      <c r="O13" s="69" t="s">
        <v>88</v>
      </c>
    </row>
    <row r="14" spans="1:18" ht="18.75" customHeight="1" outlineLevel="1">
      <c r="A14" s="161" t="s">
        <v>7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8"/>
      <c r="L14" s="168"/>
      <c r="M14" s="108"/>
      <c r="N14" s="108"/>
      <c r="O14" s="69" t="s">
        <v>89</v>
      </c>
    </row>
    <row r="15" spans="1:18" ht="18.75" customHeight="1" outlineLevel="1">
      <c r="A15" s="161" t="s">
        <v>8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598854.32999999996</v>
      </c>
      <c r="K15" s="108"/>
      <c r="L15" s="168"/>
      <c r="M15" s="108"/>
      <c r="N15" s="108"/>
      <c r="O15" s="69" t="s">
        <v>90</v>
      </c>
    </row>
    <row r="16" spans="1:18" ht="18.75" customHeight="1" outlineLevel="1">
      <c r="A16" s="161" t="s">
        <v>9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598854.32999999996</v>
      </c>
      <c r="K16" s="108"/>
      <c r="L16" s="168"/>
      <c r="M16" s="108"/>
      <c r="N16" s="108"/>
      <c r="O16" s="69" t="s">
        <v>91</v>
      </c>
    </row>
    <row r="17" spans="1:23" ht="18.75" customHeight="1" outlineLevel="1">
      <c r="A17" s="161" t="s">
        <v>10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8"/>
      <c r="L17" s="168"/>
      <c r="M17" s="108"/>
      <c r="N17" s="108"/>
      <c r="O17" s="69" t="s">
        <v>92</v>
      </c>
    </row>
    <row r="18" spans="1:23" ht="18.75" customHeight="1" outlineLevel="1">
      <c r="A18" s="161" t="s">
        <v>11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8"/>
      <c r="L18" s="168"/>
      <c r="M18" s="108"/>
      <c r="N18" s="108"/>
      <c r="O18" s="69" t="s">
        <v>93</v>
      </c>
    </row>
    <row r="19" spans="1:23" ht="18.75" customHeight="1" outlineLevel="1">
      <c r="A19" s="161" t="s">
        <v>12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8"/>
      <c r="L19" s="168"/>
      <c r="M19" s="108"/>
      <c r="N19" s="108"/>
      <c r="O19" s="69" t="s">
        <v>94</v>
      </c>
    </row>
    <row r="20" spans="1:23" ht="18.75" customHeight="1" outlineLevel="1">
      <c r="A20" s="161" t="s">
        <v>13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8"/>
      <c r="L20" s="168"/>
      <c r="M20" s="108"/>
      <c r="N20" s="108"/>
      <c r="O20" s="69" t="s">
        <v>95</v>
      </c>
    </row>
    <row r="21" spans="1:23" ht="18.75" customHeight="1" outlineLevel="1">
      <c r="A21" s="161" t="s">
        <v>14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598854.32999999996</v>
      </c>
      <c r="K21" s="108"/>
      <c r="L21" s="168"/>
      <c r="M21" s="108"/>
      <c r="N21" s="108"/>
      <c r="O21" s="69" t="s">
        <v>96</v>
      </c>
    </row>
    <row r="22" spans="1:23" ht="18.75" customHeight="1" outlineLevel="1">
      <c r="A22" s="161" t="s">
        <v>15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8"/>
      <c r="L22" s="168"/>
      <c r="M22" s="108"/>
      <c r="N22" s="108"/>
      <c r="O22" s="69" t="s">
        <v>97</v>
      </c>
    </row>
    <row r="23" spans="1:23" ht="18.75" customHeight="1" outlineLevel="1">
      <c r="A23" s="161" t="s">
        <v>16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8"/>
      <c r="L23" s="168"/>
      <c r="M23" s="108"/>
      <c r="N23" s="108"/>
      <c r="O23" s="69" t="s">
        <v>98</v>
      </c>
    </row>
    <row r="24" spans="1:23" ht="18.75" customHeight="1" outlineLevel="1">
      <c r="A24" s="161" t="s">
        <v>17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113438.69999999995</v>
      </c>
      <c r="K24" s="108"/>
      <c r="L24" s="168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60" t="s">
        <v>18</v>
      </c>
      <c r="B27" s="160"/>
      <c r="C27" s="160"/>
      <c r="D27" s="160"/>
      <c r="E27" s="160"/>
      <c r="F27" s="160" t="s">
        <v>19</v>
      </c>
      <c r="G27" s="160"/>
      <c r="H27" s="5" t="s">
        <v>56</v>
      </c>
      <c r="I27" s="160" t="s">
        <v>20</v>
      </c>
      <c r="J27" s="160"/>
      <c r="K27" s="108"/>
      <c r="L27" s="169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108313.32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8"/>
      <c r="L28" s="169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2" t="str">
        <f>ПТО!A40</f>
        <v>Работы по содержанию лифта (лифтов)</v>
      </c>
      <c r="B29" s="152"/>
      <c r="C29" s="152"/>
      <c r="D29" s="152"/>
      <c r="E29" s="152"/>
      <c r="F29" s="157">
        <f>VLOOKUP(A29,ПТО!$A$39:$D$53,2,FALSE)</f>
        <v>60098.64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8"/>
      <c r="L29" s="169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109671.48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8"/>
      <c r="L30" s="169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40744.800000000003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8"/>
      <c r="L31" s="169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8"/>
      <c r="L32" s="169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13242.12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8"/>
      <c r="L33" s="169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46856.52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8"/>
      <c r="L34" s="169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2"/>
      <c r="C35" s="152"/>
      <c r="D35" s="152"/>
      <c r="E35" s="152"/>
      <c r="F35" s="157">
        <f>VLOOKUP(A35,ПТО!$A$39:$D$53,2,FALSE)</f>
        <v>135476.51999999999</v>
      </c>
      <c r="G35" s="157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08"/>
      <c r="L35" s="169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8"/>
      <c r="L36" s="169"/>
      <c r="M36" s="115"/>
      <c r="N36" s="108"/>
      <c r="O36" s="23">
        <f t="shared" si="1"/>
        <v>0</v>
      </c>
      <c r="R36" s="1" t="s">
        <v>70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8"/>
      <c r="L37" s="169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8"/>
      <c r="L38" s="169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8"/>
      <c r="L39" s="169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8"/>
      <c r="L40" s="169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8"/>
      <c r="L41" s="169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8"/>
      <c r="L42" s="169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7">
        <f>VLOOKUP(A43,ПТО!$A$2:$D$31,4,FALSE)</f>
        <v>8100</v>
      </c>
      <c r="G43" s="157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08"/>
      <c r="L43" s="169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2" t="str">
        <f>ПТО!A3</f>
        <v>Техническое обслуживание видеонаблюдения.</v>
      </c>
      <c r="B44" s="152"/>
      <c r="C44" s="152"/>
      <c r="D44" s="152"/>
      <c r="E44" s="152"/>
      <c r="F44" s="157">
        <f>VLOOKUP(A44,ПТО!$A$2:$D$31,4,FALSE)</f>
        <v>33600</v>
      </c>
      <c r="G44" s="157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08"/>
      <c r="L44" s="169"/>
      <c r="M44" s="115"/>
      <c r="N44" s="108"/>
      <c r="O44" s="23" t="str">
        <f t="shared" si="1"/>
        <v>Техническое обслуживание видеонаблюдения.</v>
      </c>
      <c r="R44" s="22" t="s">
        <v>71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7">
        <f>VLOOKUP(A45,ПТО!$A$2:$D$31,4,FALSE)</f>
        <v>3393.71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8"/>
      <c r="L45" s="169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2" t="str">
        <f>ПТО!A5</f>
        <v>Замена светильников в кабине лифта (630 кг).</v>
      </c>
      <c r="B46" s="152"/>
      <c r="C46" s="152"/>
      <c r="D46" s="152"/>
      <c r="E46" s="152"/>
      <c r="F46" s="157">
        <f>VLOOKUP(A46,ПТО!$A$2:$D$31,4,FALSE)</f>
        <v>3560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8"/>
      <c r="L46" s="169"/>
      <c r="M46" s="115"/>
      <c r="N46" s="108"/>
      <c r="O46" s="23" t="str">
        <f t="shared" si="1"/>
        <v>Замена светильников в кабине лифта (630 кг).</v>
      </c>
      <c r="R46" s="22" t="s">
        <v>71</v>
      </c>
    </row>
    <row r="47" spans="1:18" ht="51" customHeight="1" outlineLevel="1">
      <c r="A47" s="152" t="str">
        <f>ПТО!A6</f>
        <v>Приобретение и установка таблички по пожарной безопасности.</v>
      </c>
      <c r="B47" s="152"/>
      <c r="C47" s="152"/>
      <c r="D47" s="152"/>
      <c r="E47" s="152"/>
      <c r="F47" s="157">
        <f>VLOOKUP(A47,ПТО!$A$2:$D$31,4,FALSE)</f>
        <v>250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8"/>
      <c r="L47" s="169"/>
      <c r="M47" s="115"/>
      <c r="N47" s="108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52" t="str">
        <f>ПТО!A7</f>
        <v>Благоустройство придомовой территории (покраска бордюр, перил, крыльца).</v>
      </c>
      <c r="B48" s="152"/>
      <c r="C48" s="152"/>
      <c r="D48" s="152"/>
      <c r="E48" s="152"/>
      <c r="F48" s="157">
        <f>VLOOKUP(A48,ПТО!$A$2:$D$31,4,FALSE)</f>
        <v>3036.95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8"/>
      <c r="L48" s="169"/>
      <c r="M48" s="115"/>
      <c r="N48" s="108"/>
      <c r="O48" s="23" t="str">
        <f t="shared" si="1"/>
        <v>Благоустройство придомовой территории (покраска бордюр, перил, крыльца).</v>
      </c>
      <c r="R48" s="22" t="s">
        <v>71</v>
      </c>
    </row>
    <row r="49" spans="1:18" ht="51" customHeight="1" outlineLevel="1">
      <c r="A49" s="152" t="str">
        <f>ПТО!A8</f>
        <v>Ремонт прибора учета тепловой энергии.</v>
      </c>
      <c r="B49" s="152"/>
      <c r="C49" s="152"/>
      <c r="D49" s="152"/>
      <c r="E49" s="152"/>
      <c r="F49" s="157">
        <f>VLOOKUP(A49,ПТО!$A$2:$D$31,4,FALSE)</f>
        <v>2182.5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8"/>
      <c r="L49" s="169"/>
      <c r="M49" s="115"/>
      <c r="N49" s="108"/>
      <c r="O49" s="23" t="str">
        <f t="shared" si="1"/>
        <v>Ремонт прибора учета тепловой энергии.</v>
      </c>
      <c r="R49" s="22" t="s">
        <v>71</v>
      </c>
    </row>
    <row r="50" spans="1:18" ht="51" customHeight="1" outlineLevel="1">
      <c r="A50" s="152" t="str">
        <f>ПТО!A9</f>
        <v>Замена контактора (станция управления) для пассажирского лифта.</v>
      </c>
      <c r="B50" s="152"/>
      <c r="C50" s="152"/>
      <c r="D50" s="152"/>
      <c r="E50" s="152"/>
      <c r="F50" s="157">
        <f>VLOOKUP(A50,ПТО!$A$2:$D$31,4,FALSE)</f>
        <v>2950</v>
      </c>
      <c r="G50" s="157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8"/>
      <c r="L50" s="169"/>
      <c r="M50" s="115"/>
      <c r="N50" s="108"/>
      <c r="O50" s="23" t="str">
        <f t="shared" si="1"/>
        <v>Замена контактора (станция управления) для пассажирского лифта.</v>
      </c>
      <c r="R50" s="22" t="s">
        <v>71</v>
      </c>
    </row>
    <row r="51" spans="1:18" ht="51" customHeight="1" outlineLevel="1">
      <c r="A51" s="152" t="str">
        <f>ПТО!A10</f>
        <v>Замена светильников в подъезде.</v>
      </c>
      <c r="B51" s="152"/>
      <c r="C51" s="152"/>
      <c r="D51" s="152"/>
      <c r="E51" s="152"/>
      <c r="F51" s="157">
        <f>VLOOKUP(A51,ПТО!$A$2:$D$31,4,FALSE)</f>
        <v>8800</v>
      </c>
      <c r="G51" s="157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8"/>
      <c r="L51" s="169"/>
      <c r="M51" s="115"/>
      <c r="N51" s="108"/>
      <c r="O51" s="23" t="str">
        <f t="shared" si="1"/>
        <v>Замена светильников в подъезде.</v>
      </c>
      <c r="R51" s="22" t="s">
        <v>71</v>
      </c>
    </row>
    <row r="52" spans="1:18" ht="51" customHeight="1" outlineLevel="1">
      <c r="A52" s="152" t="str">
        <f>ПТО!A11</f>
        <v>Замена платы питания (НКУ) пассажирского лифта.</v>
      </c>
      <c r="B52" s="152"/>
      <c r="C52" s="152"/>
      <c r="D52" s="152"/>
      <c r="E52" s="152"/>
      <c r="F52" s="157">
        <f>VLOOKUP(A52,ПТО!$A$2:$D$31,4,FALSE)</f>
        <v>8750</v>
      </c>
      <c r="G52" s="157"/>
      <c r="H52" s="25" t="str">
        <f>VLOOKUP(A52,ПТО!$A$2:$D$31,2,FALSE)</f>
        <v>разово</v>
      </c>
      <c r="I52" s="153">
        <f>VLOOKUP(A52,ПТО!$A$2:$D$31,3,FALSE)</f>
        <v>1</v>
      </c>
      <c r="J52" s="153"/>
      <c r="K52" s="108"/>
      <c r="L52" s="169"/>
      <c r="M52" s="115"/>
      <c r="N52" s="108"/>
      <c r="O52" s="23" t="str">
        <f t="shared" si="1"/>
        <v>Замена платы питания (НКУ) пассажирского лифта.</v>
      </c>
      <c r="R52" s="22" t="s">
        <v>71</v>
      </c>
    </row>
    <row r="53" spans="1:18" ht="51" customHeight="1" outlineLevel="1">
      <c r="A53" s="152" t="str">
        <f>ПТО!A12</f>
        <v>Замена блока питания системы видеонаблюдения.</v>
      </c>
      <c r="B53" s="152"/>
      <c r="C53" s="152"/>
      <c r="D53" s="152"/>
      <c r="E53" s="152"/>
      <c r="F53" s="157">
        <f>VLOOKUP(A53,ПТО!$A$2:$D$31,4,FALSE)</f>
        <v>1012</v>
      </c>
      <c r="G53" s="157"/>
      <c r="H53" s="25" t="str">
        <f>VLOOKUP(A53,ПТО!$A$2:$D$31,2,FALSE)</f>
        <v>разово</v>
      </c>
      <c r="I53" s="153">
        <f>VLOOKUP(A53,ПТО!$A$2:$D$31,3,FALSE)</f>
        <v>1</v>
      </c>
      <c r="J53" s="153"/>
      <c r="K53" s="108"/>
      <c r="L53" s="169"/>
      <c r="M53" s="115"/>
      <c r="N53" s="108"/>
      <c r="O53" s="23" t="str">
        <f t="shared" si="1"/>
        <v>Замена блока питания системы видеонаблюдения.</v>
      </c>
      <c r="R53" s="22" t="s">
        <v>71</v>
      </c>
    </row>
    <row r="54" spans="1:18" ht="51" customHeight="1" outlineLevel="1">
      <c r="A54" s="152" t="str">
        <f>ПТО!A13</f>
        <v>Замена блока питания прибора учета тепловой энергии.</v>
      </c>
      <c r="B54" s="152"/>
      <c r="C54" s="152"/>
      <c r="D54" s="152"/>
      <c r="E54" s="152"/>
      <c r="F54" s="157">
        <f>VLOOKUP(A54,ПТО!$A$2:$D$31,4,FALSE)</f>
        <v>2550</v>
      </c>
      <c r="G54" s="157"/>
      <c r="H54" s="25" t="str">
        <f>VLOOKUP(A54,ПТО!$A$2:$D$31,2,FALSE)</f>
        <v>разово</v>
      </c>
      <c r="I54" s="153">
        <f>VLOOKUP(A54,ПТО!$A$2:$D$31,3,FALSE)</f>
        <v>1</v>
      </c>
      <c r="J54" s="153"/>
      <c r="K54" s="108"/>
      <c r="L54" s="169"/>
      <c r="M54" s="115"/>
      <c r="N54" s="108"/>
      <c r="O54" s="23" t="str">
        <f t="shared" si="1"/>
        <v>Замена блока питания прибора учета тепловой энергии.</v>
      </c>
      <c r="R54" s="22" t="s">
        <v>71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8"/>
      <c r="L55" s="169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8"/>
      <c r="L56" s="169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8"/>
      <c r="L57" s="169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8"/>
      <c r="L58" s="169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8"/>
      <c r="L59" s="169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8"/>
      <c r="L60" s="169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8"/>
      <c r="L61" s="169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8"/>
      <c r="L62" s="169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8"/>
      <c r="L63" s="169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8"/>
      <c r="L64" s="169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8"/>
      <c r="L65" s="169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8"/>
      <c r="L66" s="169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8"/>
      <c r="L67" s="169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8"/>
      <c r="L68" s="169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8"/>
      <c r="L69" s="169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8"/>
      <c r="L70" s="169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5"/>
      <c r="L71" s="169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8"/>
      <c r="L72" s="169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70" t="s">
        <v>26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8"/>
      <c r="L75" s="172"/>
      <c r="M75" s="108"/>
      <c r="N75" s="108"/>
      <c r="O75" s="69" t="s">
        <v>100</v>
      </c>
    </row>
    <row r="76" spans="1:16384" ht="18.75" customHeight="1" outlineLevel="1">
      <c r="A76" s="170" t="s">
        <v>27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8"/>
      <c r="L76" s="172"/>
      <c r="M76" s="108"/>
      <c r="N76" s="108"/>
      <c r="O76" s="69" t="s">
        <v>101</v>
      </c>
    </row>
    <row r="77" spans="1:16384" ht="21.75" customHeight="1" outlineLevel="1">
      <c r="A77" s="170" t="s">
        <v>28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8"/>
      <c r="L77" s="172"/>
      <c r="M77" s="108"/>
      <c r="N77" s="108"/>
      <c r="O77" s="69" t="s">
        <v>102</v>
      </c>
    </row>
    <row r="78" spans="1:16384" ht="18.75" customHeight="1" outlineLevel="1">
      <c r="A78" s="170" t="s">
        <v>29</v>
      </c>
      <c r="B78" s="170"/>
      <c r="C78" s="170"/>
      <c r="D78" s="170"/>
      <c r="E78" s="170"/>
      <c r="F78" s="170"/>
      <c r="G78" s="170"/>
      <c r="H78" s="170"/>
      <c r="I78" s="170"/>
      <c r="J78" s="96">
        <f>VLOOKUP(O78,АО,3,FALSE)</f>
        <v>0</v>
      </c>
      <c r="K78" s="108"/>
      <c r="L78" s="172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50" t="s">
        <v>1</v>
      </c>
      <c r="B81" s="150"/>
      <c r="C81" s="150"/>
      <c r="D81" s="150"/>
      <c r="E81" s="150"/>
      <c r="F81" s="150"/>
      <c r="G81" s="150"/>
      <c r="H81" s="150"/>
      <c r="I81" s="150"/>
      <c r="J81" s="96">
        <f t="shared" ref="J81:J90" si="2">VLOOKUP(O81,АО,3,FALSE)</f>
        <v>0</v>
      </c>
      <c r="K81" s="108"/>
      <c r="L81" s="158"/>
      <c r="M81" s="108"/>
      <c r="N81" s="108"/>
      <c r="O81" s="69" t="s">
        <v>104</v>
      </c>
    </row>
    <row r="82" spans="1:15" outlineLevel="1">
      <c r="A82" s="150" t="s">
        <v>2</v>
      </c>
      <c r="B82" s="150"/>
      <c r="C82" s="150"/>
      <c r="D82" s="150"/>
      <c r="E82" s="150"/>
      <c r="F82" s="150"/>
      <c r="G82" s="150"/>
      <c r="H82" s="150"/>
      <c r="I82" s="150"/>
      <c r="J82" s="96">
        <f t="shared" si="2"/>
        <v>0</v>
      </c>
      <c r="K82" s="108"/>
      <c r="L82" s="158"/>
      <c r="M82" s="108"/>
      <c r="N82" s="108"/>
      <c r="O82" s="69" t="s">
        <v>105</v>
      </c>
    </row>
    <row r="83" spans="1:15" outlineLevel="1">
      <c r="A83" s="164" t="s">
        <v>3</v>
      </c>
      <c r="B83" s="165"/>
      <c r="C83" s="165"/>
      <c r="D83" s="165"/>
      <c r="E83" s="165"/>
      <c r="F83" s="165"/>
      <c r="G83" s="165"/>
      <c r="H83" s="165"/>
      <c r="I83" s="166"/>
      <c r="J83" s="96">
        <f t="shared" si="2"/>
        <v>95116.41</v>
      </c>
      <c r="K83" s="108"/>
      <c r="L83" s="158"/>
      <c r="M83" s="108"/>
      <c r="N83" s="108"/>
      <c r="O83" s="69" t="s">
        <v>106</v>
      </c>
    </row>
    <row r="84" spans="1:15" outlineLevel="1">
      <c r="A84" s="164" t="s">
        <v>15</v>
      </c>
      <c r="B84" s="165"/>
      <c r="C84" s="165"/>
      <c r="D84" s="165"/>
      <c r="E84" s="165"/>
      <c r="F84" s="165"/>
      <c r="G84" s="165"/>
      <c r="H84" s="165"/>
      <c r="I84" s="166"/>
      <c r="J84" s="96">
        <f t="shared" si="2"/>
        <v>0</v>
      </c>
      <c r="K84" s="108"/>
      <c r="L84" s="158"/>
      <c r="M84" s="108"/>
      <c r="N84" s="108"/>
      <c r="O84" s="69" t="s">
        <v>107</v>
      </c>
    </row>
    <row r="85" spans="1:15" outlineLevel="1">
      <c r="A85" s="164" t="s">
        <v>16</v>
      </c>
      <c r="B85" s="165"/>
      <c r="C85" s="165"/>
      <c r="D85" s="165"/>
      <c r="E85" s="165"/>
      <c r="F85" s="165"/>
      <c r="G85" s="165"/>
      <c r="H85" s="165"/>
      <c r="I85" s="166"/>
      <c r="J85" s="96">
        <f t="shared" si="2"/>
        <v>0</v>
      </c>
      <c r="K85" s="108"/>
      <c r="L85" s="158"/>
      <c r="M85" s="108"/>
      <c r="N85" s="108"/>
      <c r="O85" s="69" t="s">
        <v>108</v>
      </c>
    </row>
    <row r="86" spans="1:15" outlineLevel="1">
      <c r="A86" s="164" t="s">
        <v>17</v>
      </c>
      <c r="B86" s="165"/>
      <c r="C86" s="165"/>
      <c r="D86" s="165"/>
      <c r="E86" s="165"/>
      <c r="F86" s="165"/>
      <c r="G86" s="165"/>
      <c r="H86" s="165"/>
      <c r="I86" s="166"/>
      <c r="J86" s="96">
        <f t="shared" si="2"/>
        <v>49579.85</v>
      </c>
      <c r="K86" s="108"/>
      <c r="L86" s="158"/>
      <c r="M86" s="108"/>
      <c r="N86" s="108"/>
      <c r="O86" s="69" t="s">
        <v>109</v>
      </c>
    </row>
    <row r="87" spans="1:15" ht="18.75" customHeight="1" outlineLevel="1">
      <c r="A87" s="164" t="s">
        <v>26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8"/>
      <c r="L87" s="158"/>
      <c r="M87" s="108"/>
      <c r="N87" s="108"/>
      <c r="O87" s="69" t="s">
        <v>110</v>
      </c>
    </row>
    <row r="88" spans="1:15" ht="18.75" customHeight="1" outlineLevel="1">
      <c r="A88" s="164" t="s">
        <v>27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8"/>
      <c r="L88" s="158"/>
      <c r="M88" s="108"/>
      <c r="N88" s="108"/>
      <c r="O88" s="69" t="s">
        <v>111</v>
      </c>
    </row>
    <row r="89" spans="1:15" ht="18.75" customHeight="1" outlineLevel="1">
      <c r="A89" s="164" t="s">
        <v>28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8"/>
      <c r="L89" s="158"/>
      <c r="M89" s="108"/>
      <c r="N89" s="108"/>
      <c r="O89" s="69" t="s">
        <v>112</v>
      </c>
    </row>
    <row r="90" spans="1:15" ht="18.75" customHeight="1" outlineLevel="1">
      <c r="A90" s="164" t="s">
        <v>29</v>
      </c>
      <c r="B90" s="165"/>
      <c r="C90" s="165"/>
      <c r="D90" s="165"/>
      <c r="E90" s="165"/>
      <c r="F90" s="165"/>
      <c r="G90" s="165"/>
      <c r="H90" s="165"/>
      <c r="I90" s="166"/>
      <c r="J90" s="96">
        <f t="shared" si="2"/>
        <v>0</v>
      </c>
      <c r="K90" s="108"/>
      <c r="L90" s="158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73" t="s">
        <v>47</v>
      </c>
      <c r="B93" s="173"/>
      <c r="C93" s="173"/>
      <c r="D93" s="174" t="s">
        <v>48</v>
      </c>
      <c r="E93" s="174"/>
      <c r="F93" s="10" t="s">
        <v>49</v>
      </c>
      <c r="G93" s="173" t="s">
        <v>50</v>
      </c>
      <c r="H93" s="173"/>
      <c r="I93" s="173"/>
      <c r="J93" s="173"/>
      <c r="K93" s="108"/>
      <c r="L93" s="108"/>
      <c r="M93" s="108"/>
      <c r="N93" s="108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183452.11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160922.90350877194</v>
      </c>
      <c r="L95" s="159"/>
      <c r="O95" s="1" t="s">
        <v>114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200914.31999999998</v>
      </c>
      <c r="L96" s="159"/>
      <c r="O96" s="1" t="s">
        <v>115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116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183452.11</v>
      </c>
      <c r="L98" s="159"/>
      <c r="O98" s="1" t="s">
        <v>117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183452.11</v>
      </c>
      <c r="L99" s="159"/>
      <c r="O99" s="1" t="s">
        <v>118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119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120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82988.289999999994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6133.6504065040644</v>
      </c>
      <c r="L103" s="159"/>
      <c r="O103" s="1" t="s">
        <v>123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95477.65</v>
      </c>
      <c r="L104" s="159"/>
      <c r="O104" s="1" t="s">
        <v>124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125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82988.289999999994</v>
      </c>
      <c r="L106" s="159"/>
      <c r="O106" s="1" t="s">
        <v>126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82988.289999999994</v>
      </c>
      <c r="L107" s="159"/>
      <c r="O107" s="1" t="s">
        <v>127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128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129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96208.839999999967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6235.1808165910543</v>
      </c>
      <c r="L111" s="159"/>
      <c r="O111" s="1" t="s">
        <v>131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107765.72</v>
      </c>
      <c r="L112" s="159"/>
      <c r="O112" s="1" t="s">
        <v>132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0</v>
      </c>
      <c r="L113" s="159"/>
      <c r="O113" s="1" t="s">
        <v>133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96208.839999999967</v>
      </c>
      <c r="L114" s="159"/>
      <c r="O114" s="1" t="s">
        <v>134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96208.839999999967</v>
      </c>
      <c r="L115" s="159"/>
      <c r="O115" s="1" t="s">
        <v>135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136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137</v>
      </c>
    </row>
    <row r="118" spans="1:15" ht="32.25" customHeight="1" outlineLevel="1">
      <c r="A118" s="154" t="str">
        <f>IF(VLOOKUP("тко",АО,3,FALSE)&gt;0,"Обращение с ТКО",0)</f>
        <v>Обращение с ТКО</v>
      </c>
      <c r="B118" s="154"/>
      <c r="C118" s="154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6">
        <f>VLOOKUP("тко",АО,5,FALSE)</f>
        <v>110051.79</v>
      </c>
      <c r="H118" s="155"/>
      <c r="I118" s="155"/>
      <c r="J118" s="155"/>
      <c r="L118" s="47"/>
    </row>
    <row r="119" spans="1:15" ht="32.25" customHeight="1" outlineLevel="2">
      <c r="A119" s="150" t="str">
        <f t="shared" ref="A119:A125" si="8">IF(VLOOKUP("тко",АО,3,FALSE)&gt;0,VLOOKUP(O119,АО,2,FALSE),0)</f>
        <v>Общий объем потребления, нат. показ.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194.12568132507806</v>
      </c>
      <c r="L119" s="47"/>
      <c r="O119" s="1" t="s">
        <v>139</v>
      </c>
    </row>
    <row r="120" spans="1:15" ht="32.25" customHeight="1" outlineLevel="2">
      <c r="A120" s="150" t="str">
        <f t="shared" si="8"/>
        <v>Оплачено потребителями, руб.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114079.90000000001</v>
      </c>
      <c r="L120" s="47"/>
      <c r="O120" s="1" t="s">
        <v>140</v>
      </c>
    </row>
    <row r="121" spans="1:15" ht="32.25" customHeight="1" outlineLevel="2">
      <c r="A121" s="150" t="str">
        <f t="shared" si="8"/>
        <v>Задолженность потребителей, руб.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50" t="str">
        <f t="shared" si="8"/>
        <v>Начислено поставщиком (поставщиками) коммунального ресурса, руб.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110051.79</v>
      </c>
      <c r="L122" s="47"/>
      <c r="O122" s="1" t="s">
        <v>142</v>
      </c>
    </row>
    <row r="123" spans="1:15" ht="32.25" customHeight="1" outlineLevel="2">
      <c r="A123" s="150" t="str">
        <f t="shared" si="8"/>
        <v>Оплачено поставщику (поставщикам) коммунального ресурса, руб.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110051.79</v>
      </c>
      <c r="L123" s="47"/>
      <c r="O123" s="1" t="s">
        <v>143</v>
      </c>
    </row>
    <row r="124" spans="1:15" ht="32.25" customHeight="1" outlineLevel="2">
      <c r="A124" s="150" t="str">
        <f t="shared" si="8"/>
        <v>Задолженность перед поставщиком (поставщиками) коммунального ресурса, руб.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50" t="str">
        <f t="shared" si="8"/>
        <v>Размер пени и штрафов, уплаченных поставщику (поставщикам) коммунального ресурса, руб.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6">
        <f>VLOOKUP("гвс",АО,5,FALSE)</f>
        <v>0</v>
      </c>
      <c r="H126" s="155"/>
      <c r="I126" s="155"/>
      <c r="J126" s="155"/>
      <c r="L126" s="47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7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50" t="s">
        <v>44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171</v>
      </c>
    </row>
    <row r="145" spans="1:15" ht="18.75" customHeight="1" outlineLevel="1">
      <c r="A145" s="150" t="s">
        <v>45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50" t="s">
        <v>174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42855.4</v>
      </c>
      <c r="O146" t="s">
        <v>173</v>
      </c>
    </row>
    <row r="149" spans="1:15" ht="52.5" customHeight="1">
      <c r="A149" s="175" t="s">
        <v>185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191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77" t="s">
        <v>186</v>
      </c>
      <c r="B154" s="177"/>
      <c r="C154" s="177"/>
      <c r="D154" s="177"/>
      <c r="E154" s="27">
        <f>ПТО!G1</f>
        <v>-99581.63</v>
      </c>
    </row>
    <row r="155" spans="1:15" ht="34.5" customHeight="1">
      <c r="A155" s="176" t="s">
        <v>190</v>
      </c>
      <c r="B155" s="176"/>
      <c r="C155" s="176"/>
      <c r="D155" s="176"/>
      <c r="E155" s="28">
        <f>J13</f>
        <v>160941.96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18</v>
      </c>
      <c r="B157" s="160"/>
      <c r="C157" s="160"/>
      <c r="D157" s="160"/>
      <c r="E157" s="160"/>
      <c r="F157" s="160" t="s">
        <v>19</v>
      </c>
      <c r="G157" s="160"/>
      <c r="H157" s="20" t="s">
        <v>56</v>
      </c>
      <c r="I157" s="160" t="s">
        <v>20</v>
      </c>
      <c r="J157" s="160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8100</v>
      </c>
      <c r="G158" s="157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Техническое обслуживание видеонаблюдения.</v>
      </c>
      <c r="B159" s="152"/>
      <c r="C159" s="152"/>
      <c r="D159" s="152"/>
      <c r="E159" s="152"/>
      <c r="F159" s="157">
        <f t="shared" si="15"/>
        <v>33600</v>
      </c>
      <c r="G159" s="157"/>
      <c r="H159" s="24" t="str">
        <f t="shared" si="16"/>
        <v>ежемесячно</v>
      </c>
      <c r="I159" s="153">
        <f t="shared" si="17"/>
        <v>12</v>
      </c>
      <c r="J159" s="153"/>
      <c r="M159" s="22" t="s">
        <v>71</v>
      </c>
      <c r="N159" s="1" t="str">
        <v>Техническое обслуживание видеонаблюдения.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7">
        <f t="shared" si="15"/>
        <v>3393.71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2" t="str">
        <f>IF(N161&gt;0,N161,0)</f>
        <v>Замена светильников в кабине лифта (630 кг).</v>
      </c>
      <c r="B161" s="152"/>
      <c r="C161" s="152"/>
      <c r="D161" s="152"/>
      <c r="E161" s="152"/>
      <c r="F161" s="157">
        <f t="shared" si="15"/>
        <v>3560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71</v>
      </c>
      <c r="N161" s="1" t="str">
        <v>Замена светильников в кабине лифта (630 кг).</v>
      </c>
    </row>
    <row r="162" spans="1:14" ht="28.5" customHeight="1">
      <c r="A162" s="152" t="str">
        <f t="shared" si="14"/>
        <v>Приобретение и установка таблички по пожарной безопасности.</v>
      </c>
      <c r="B162" s="152"/>
      <c r="C162" s="152"/>
      <c r="D162" s="152"/>
      <c r="E162" s="152"/>
      <c r="F162" s="157">
        <f t="shared" si="15"/>
        <v>250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52" t="str">
        <f t="shared" si="14"/>
        <v>Благоустройство придомовой территории (покраска бордюр, перил, крыльца).</v>
      </c>
      <c r="B163" s="152"/>
      <c r="C163" s="152"/>
      <c r="D163" s="152"/>
      <c r="E163" s="152"/>
      <c r="F163" s="157">
        <f t="shared" si="15"/>
        <v>3036.95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71</v>
      </c>
      <c r="N163" s="1" t="str">
        <v>Благоустройство придомовой территории (покраска бордюр, перил, крыльца).</v>
      </c>
    </row>
    <row r="164" spans="1:14" ht="28.5" customHeight="1">
      <c r="A164" s="152" t="str">
        <f t="shared" ref="A164:A187" si="18">IF(N164&gt;0,N164,0)</f>
        <v>Ремонт прибора учета тепловой энергии.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2182.5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71</v>
      </c>
      <c r="N164" s="1" t="str">
        <v>Ремонт прибора учета тепловой энергии.</v>
      </c>
    </row>
    <row r="165" spans="1:14" ht="28.5" customHeight="1">
      <c r="A165" s="152" t="str">
        <f t="shared" si="18"/>
        <v>Замена контактора (станция управления) для пассажирского лифта.</v>
      </c>
      <c r="B165" s="152"/>
      <c r="C165" s="152"/>
      <c r="D165" s="152"/>
      <c r="E165" s="152"/>
      <c r="F165" s="157">
        <f t="shared" si="19"/>
        <v>2950</v>
      </c>
      <c r="G165" s="157"/>
      <c r="H165" s="29" t="str">
        <f t="shared" si="16"/>
        <v>разово</v>
      </c>
      <c r="I165" s="153">
        <f t="shared" si="20"/>
        <v>1</v>
      </c>
      <c r="J165" s="153"/>
      <c r="M165" s="22" t="s">
        <v>71</v>
      </c>
      <c r="N165" s="1" t="str">
        <v>Замена контактора (станция управления) для пассажирского лифта.</v>
      </c>
    </row>
    <row r="166" spans="1:14" ht="28.5" customHeight="1">
      <c r="A166" s="152" t="str">
        <f t="shared" si="18"/>
        <v>Замена светильников в подъезде.</v>
      </c>
      <c r="B166" s="152"/>
      <c r="C166" s="152"/>
      <c r="D166" s="152"/>
      <c r="E166" s="152"/>
      <c r="F166" s="157">
        <f t="shared" si="19"/>
        <v>8800</v>
      </c>
      <c r="G166" s="157"/>
      <c r="H166" s="29" t="str">
        <f t="shared" si="16"/>
        <v>разово</v>
      </c>
      <c r="I166" s="153">
        <f t="shared" si="20"/>
        <v>1</v>
      </c>
      <c r="J166" s="153"/>
      <c r="M166" s="22" t="s">
        <v>71</v>
      </c>
      <c r="N166" s="1" t="str">
        <v>Замена светильников в подъезде.</v>
      </c>
    </row>
    <row r="167" spans="1:14" ht="28.5" customHeight="1">
      <c r="A167" s="152" t="str">
        <f t="shared" si="18"/>
        <v>Замена платы питания (НКУ) пассажирского лифта.</v>
      </c>
      <c r="B167" s="152"/>
      <c r="C167" s="152"/>
      <c r="D167" s="152"/>
      <c r="E167" s="152"/>
      <c r="F167" s="157">
        <f t="shared" si="19"/>
        <v>8750</v>
      </c>
      <c r="G167" s="157"/>
      <c r="H167" s="29" t="str">
        <f t="shared" si="16"/>
        <v>разово</v>
      </c>
      <c r="I167" s="153">
        <f t="shared" si="20"/>
        <v>1</v>
      </c>
      <c r="J167" s="153"/>
      <c r="M167" s="22" t="s">
        <v>71</v>
      </c>
      <c r="N167" s="1" t="str">
        <v>Замена платы питания (НКУ) пассажирского лифта.</v>
      </c>
    </row>
    <row r="168" spans="1:14" ht="28.5" customHeight="1">
      <c r="A168" s="152" t="str">
        <f t="shared" si="18"/>
        <v>Замена блока питания системы видеонаблюдения.</v>
      </c>
      <c r="B168" s="152"/>
      <c r="C168" s="152"/>
      <c r="D168" s="152"/>
      <c r="E168" s="152"/>
      <c r="F168" s="157">
        <f t="shared" si="19"/>
        <v>1012</v>
      </c>
      <c r="G168" s="157"/>
      <c r="H168" s="29" t="str">
        <f t="shared" si="16"/>
        <v>разово</v>
      </c>
      <c r="I168" s="153">
        <f t="shared" si="20"/>
        <v>1</v>
      </c>
      <c r="J168" s="153"/>
      <c r="M168" s="22" t="s">
        <v>71</v>
      </c>
      <c r="N168" s="1" t="str">
        <v>Замена блока питания системы видеонаблюдения.</v>
      </c>
    </row>
    <row r="169" spans="1:14" ht="28.5" customHeight="1">
      <c r="A169" s="152" t="str">
        <f t="shared" si="18"/>
        <v>Замена блока питания прибора учета тепловой энергии.</v>
      </c>
      <c r="B169" s="152"/>
      <c r="C169" s="152"/>
      <c r="D169" s="152"/>
      <c r="E169" s="152"/>
      <c r="F169" s="157">
        <f t="shared" si="19"/>
        <v>2550</v>
      </c>
      <c r="G169" s="157"/>
      <c r="H169" s="29" t="str">
        <f t="shared" si="16"/>
        <v>разово</v>
      </c>
      <c r="I169" s="153">
        <f t="shared" si="20"/>
        <v>1</v>
      </c>
      <c r="J169" s="153"/>
      <c r="M169" s="22" t="s">
        <v>71</v>
      </c>
      <c r="N169" s="1" t="str">
        <v>Замена блока питания прибора учета тепловой энергии.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71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71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71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71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71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71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71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71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71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71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71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71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71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71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71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71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71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77" t="s">
        <v>189</v>
      </c>
      <c r="B190" s="177"/>
      <c r="C190" s="177"/>
      <c r="D190" s="177"/>
      <c r="E190" s="27">
        <f>SUM(F158:G187)</f>
        <v>78185.16</v>
      </c>
    </row>
    <row r="191" spans="1:14" ht="51.75" customHeight="1">
      <c r="A191" s="177" t="s">
        <v>188</v>
      </c>
      <c r="B191" s="177"/>
      <c r="C191" s="177"/>
      <c r="D191" s="177"/>
      <c r="E191" s="27">
        <f>E190+E154-E155</f>
        <v>-182338.43</v>
      </c>
    </row>
    <row r="192" spans="1:14">
      <c r="A192" s="103" t="s">
        <v>175</v>
      </c>
    </row>
    <row r="193" spans="1:10" ht="62.25" customHeight="1">
      <c r="A193" s="151" t="s">
        <v>187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48">
        <f>ПТО!G12</f>
        <v>1200</v>
      </c>
      <c r="I194" s="49" t="s">
        <v>74</v>
      </c>
    </row>
    <row r="195" spans="1:10" ht="18.75" customHeight="1">
      <c r="A195" s="149" t="str">
        <f>ПТО!F13</f>
        <v xml:space="preserve">  -  техническое освидетельствование лифта</v>
      </c>
      <c r="B195" s="149"/>
      <c r="C195" s="149"/>
      <c r="D195" s="149"/>
      <c r="E195" s="149"/>
      <c r="F195" s="149"/>
      <c r="G195" s="149"/>
      <c r="H195" s="48">
        <f>ПТО!G13</f>
        <v>8100</v>
      </c>
      <c r="I195" s="49" t="s">
        <v>74</v>
      </c>
    </row>
    <row r="196" spans="1:10" ht="18.75" customHeight="1">
      <c r="A196" s="149" t="str">
        <f>ПТО!F14</f>
        <v xml:space="preserve">  -  техническое обслуживание системы видеонаблюдения</v>
      </c>
      <c r="B196" s="149"/>
      <c r="C196" s="149"/>
      <c r="D196" s="149"/>
      <c r="E196" s="149"/>
      <c r="F196" s="149"/>
      <c r="G196" s="149"/>
      <c r="H196" s="48">
        <f>ПТО!G14</f>
        <v>33600</v>
      </c>
      <c r="I196" s="49" t="s">
        <v>74</v>
      </c>
    </row>
    <row r="197" spans="1:10" ht="18.75" customHeight="1">
      <c r="A197" s="149" t="str">
        <f>ПТО!F15</f>
        <v xml:space="preserve">  -  ремонт подъезда</v>
      </c>
      <c r="B197" s="149"/>
      <c r="C197" s="149"/>
      <c r="D197" s="149"/>
      <c r="E197" s="149"/>
      <c r="F197" s="149"/>
      <c r="G197" s="149"/>
      <c r="H197" s="48">
        <f>ПТО!G15</f>
        <v>450000</v>
      </c>
      <c r="I197" s="49" t="s">
        <v>74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48">
        <f>ПТО!G16</f>
        <v>0</v>
      </c>
      <c r="I198" s="51" t="s">
        <v>74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48">
        <f>ПТО!G17</f>
        <v>0</v>
      </c>
      <c r="I199" s="49" t="s">
        <v>74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48">
        <f>ПТО!G18</f>
        <v>0</v>
      </c>
      <c r="I200" s="49" t="s">
        <v>74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48">
        <f>ПТО!G19</f>
        <v>0</v>
      </c>
      <c r="I201" s="49" t="s">
        <v>74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48">
        <f>ПТО!G20</f>
        <v>0</v>
      </c>
      <c r="I202" s="49" t="s">
        <v>74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48">
        <f>ПТО!G21</f>
        <v>0</v>
      </c>
      <c r="I203" s="49" t="s">
        <v>74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48">
        <f>ПТО!G22</f>
        <v>0</v>
      </c>
      <c r="I204" s="49" t="s">
        <v>74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48">
        <f>ПТО!G23</f>
        <v>0</v>
      </c>
      <c r="I205" s="49" t="s">
        <v>74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48">
        <f>ПТО!G24</f>
        <v>0</v>
      </c>
      <c r="I206" s="49" t="s">
        <v>74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48">
        <f>ПТО!G25</f>
        <v>0</v>
      </c>
      <c r="I207" s="49" t="s">
        <v>74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48">
        <f>ПТО!G26</f>
        <v>0</v>
      </c>
      <c r="I208" s="49" t="s">
        <v>74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48">
        <f>ПТО!G27</f>
        <v>0</v>
      </c>
      <c r="I209" s="49" t="s">
        <v>74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48">
        <f>ПТО!G28</f>
        <v>0</v>
      </c>
      <c r="I210" s="49" t="s">
        <v>74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48">
        <f>ПТО!G29</f>
        <v>0</v>
      </c>
      <c r="I211" s="49" t="s">
        <v>74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48">
        <f>ПТО!G30</f>
        <v>0</v>
      </c>
      <c r="I212" s="49" t="s">
        <v>74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492900</v>
      </c>
      <c r="I214" s="55" t="s">
        <v>78</v>
      </c>
    </row>
  </sheetData>
  <sheetProtection algorithmName="SHA-512" hashValue="VNyK7vCY6TGoPClR0A7xiqHnBrzG/w4dKFrl+C8YtvyKkgcqIISxFEwAGr/Nkl1Jk4PU8on68+/XDfUsVThr3Q==" saltValue="/chSMQvX3hpLMZS+dAsmLA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3" sqref="D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186</v>
      </c>
      <c r="G1" s="100">
        <f>-99581.63</f>
        <v>-99581.63</v>
      </c>
    </row>
    <row r="2" spans="1:12" ht="18.75" customHeight="1">
      <c r="A2" s="142" t="s">
        <v>72</v>
      </c>
      <c r="B2" s="143" t="s">
        <v>180</v>
      </c>
      <c r="C2" s="143">
        <v>1</v>
      </c>
      <c r="D2" s="144">
        <v>8100</v>
      </c>
      <c r="E2" s="145"/>
      <c r="F2" s="32"/>
      <c r="G2" s="32"/>
      <c r="L2" s="33" t="str">
        <f t="shared" ref="L2:L22" si="0">IF(A2&gt;0,"ТР",0)</f>
        <v>ТР</v>
      </c>
    </row>
    <row r="3" spans="1:12" ht="18.75" customHeight="1">
      <c r="A3" s="146" t="s">
        <v>179</v>
      </c>
      <c r="B3" s="147" t="s">
        <v>181</v>
      </c>
      <c r="C3" s="143">
        <v>12</v>
      </c>
      <c r="D3" s="148">
        <f>2800*12</f>
        <v>33600</v>
      </c>
      <c r="E3" s="145"/>
      <c r="F3" s="30"/>
      <c r="G3" s="30"/>
      <c r="L3" s="33" t="str">
        <f t="shared" si="0"/>
        <v>ТР</v>
      </c>
    </row>
    <row r="4" spans="1:12" ht="18.75" customHeight="1">
      <c r="A4" s="120" t="s">
        <v>194</v>
      </c>
      <c r="B4" s="122" t="s">
        <v>182</v>
      </c>
      <c r="C4" s="117">
        <v>1</v>
      </c>
      <c r="D4" s="118">
        <v>3393.71</v>
      </c>
      <c r="E4" s="126" t="s">
        <v>195</v>
      </c>
      <c r="F4" s="30"/>
      <c r="G4" s="30"/>
      <c r="L4" s="33" t="str">
        <f t="shared" si="0"/>
        <v>ТР</v>
      </c>
    </row>
    <row r="5" spans="1:12" ht="18.75" customHeight="1">
      <c r="A5" s="127" t="s">
        <v>196</v>
      </c>
      <c r="B5" s="125" t="s">
        <v>182</v>
      </c>
      <c r="C5" s="128">
        <v>1</v>
      </c>
      <c r="D5" s="129">
        <v>3560</v>
      </c>
      <c r="E5" s="124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7" t="s">
        <v>192</v>
      </c>
      <c r="B6" s="125" t="s">
        <v>182</v>
      </c>
      <c r="C6" s="128">
        <v>1</v>
      </c>
      <c r="D6" s="129">
        <v>250</v>
      </c>
      <c r="E6" s="124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199</v>
      </c>
      <c r="B7" s="133" t="s">
        <v>182</v>
      </c>
      <c r="C7" s="119">
        <v>1</v>
      </c>
      <c r="D7" s="121">
        <v>3036.95</v>
      </c>
      <c r="E7" s="126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0" t="s">
        <v>193</v>
      </c>
      <c r="B8" s="131" t="s">
        <v>182</v>
      </c>
      <c r="C8" s="119">
        <v>1</v>
      </c>
      <c r="D8" s="121">
        <v>2182.5</v>
      </c>
      <c r="E8" s="126" t="s">
        <v>201</v>
      </c>
      <c r="F8" s="45"/>
      <c r="G8" s="45"/>
      <c r="K8" s="43"/>
      <c r="L8" s="33" t="str">
        <f t="shared" si="0"/>
        <v>ТР</v>
      </c>
    </row>
    <row r="9" spans="1:12">
      <c r="A9" s="120" t="s">
        <v>203</v>
      </c>
      <c r="B9" s="117" t="s">
        <v>182</v>
      </c>
      <c r="C9" s="122">
        <v>1</v>
      </c>
      <c r="D9" s="118">
        <v>2950</v>
      </c>
      <c r="E9" s="134" t="s">
        <v>204</v>
      </c>
      <c r="F9" s="44"/>
      <c r="G9" s="44"/>
      <c r="K9" s="43"/>
      <c r="L9" s="33" t="str">
        <f t="shared" si="0"/>
        <v>ТР</v>
      </c>
    </row>
    <row r="10" spans="1:12">
      <c r="A10" s="120" t="s">
        <v>207</v>
      </c>
      <c r="B10" s="117" t="s">
        <v>182</v>
      </c>
      <c r="C10" s="122">
        <v>1</v>
      </c>
      <c r="D10" s="118">
        <v>8800</v>
      </c>
      <c r="E10" s="140" t="s">
        <v>208</v>
      </c>
      <c r="L10" s="33" t="str">
        <f t="shared" si="0"/>
        <v>ТР</v>
      </c>
    </row>
    <row r="11" spans="1:12" ht="94.5">
      <c r="A11" s="141" t="s">
        <v>209</v>
      </c>
      <c r="B11" s="123" t="s">
        <v>182</v>
      </c>
      <c r="C11" s="123">
        <v>1</v>
      </c>
      <c r="D11" s="46">
        <v>8750</v>
      </c>
      <c r="E11" s="140" t="s">
        <v>210</v>
      </c>
      <c r="F11" s="110" t="s">
        <v>187</v>
      </c>
      <c r="G11" s="110"/>
      <c r="L11" s="33" t="str">
        <f t="shared" si="0"/>
        <v>ТР</v>
      </c>
    </row>
    <row r="12" spans="1:12" ht="31.5">
      <c r="A12" s="120" t="s">
        <v>202</v>
      </c>
      <c r="B12" s="117" t="s">
        <v>182</v>
      </c>
      <c r="C12" s="122">
        <v>1</v>
      </c>
      <c r="D12" s="118">
        <v>1012</v>
      </c>
      <c r="E12" s="140" t="s">
        <v>211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35" t="s">
        <v>205</v>
      </c>
      <c r="B13" s="136" t="s">
        <v>182</v>
      </c>
      <c r="C13" s="137">
        <v>1</v>
      </c>
      <c r="D13" s="138">
        <v>2550</v>
      </c>
      <c r="E13" s="139" t="s">
        <v>206</v>
      </c>
      <c r="F13" s="111" t="s">
        <v>75</v>
      </c>
      <c r="G13" s="112">
        <v>8100</v>
      </c>
      <c r="L13" s="33" t="str">
        <f t="shared" si="0"/>
        <v>ТР</v>
      </c>
    </row>
    <row r="14" spans="1:12" ht="31.5">
      <c r="A14" s="30"/>
      <c r="F14" s="111" t="s">
        <v>76</v>
      </c>
      <c r="G14" s="113">
        <v>33600</v>
      </c>
      <c r="L14" s="33">
        <f t="shared" si="0"/>
        <v>0</v>
      </c>
    </row>
    <row r="15" spans="1:12" ht="15.75">
      <c r="A15" s="30"/>
      <c r="F15" s="111" t="s">
        <v>184</v>
      </c>
      <c r="G15" s="112">
        <v>450000</v>
      </c>
      <c r="L15" s="33">
        <f t="shared" si="0"/>
        <v>0</v>
      </c>
    </row>
    <row r="16" spans="1:12" ht="15.75">
      <c r="A16" s="30"/>
      <c r="F16" s="111"/>
      <c r="G16" s="113"/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108313.32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108313.32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60098.64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60098.64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109671.48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109671.48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40744.800000000003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40744.800000000003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13242.12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13242.12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46856.52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46856.52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135476.51999999999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135476.51999999999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826GayGdHF26EEL0KICwfrDuWzl5IbNOZTrC/x8nJynpnuuEn6M6gBsEpS54D+AuPPpcd4Pj5vQIOsuTeqgGgQ==" saltValue="k78Kw5y7DeLI/22yHzpTA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84" sqref="F8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183</v>
      </c>
      <c r="F1" s="59">
        <v>2829.5</v>
      </c>
    </row>
    <row r="2" spans="1:10" ht="15.75" customHeight="1">
      <c r="A2" s="69" t="s">
        <v>83</v>
      </c>
      <c r="B2" s="71" t="s">
        <v>1</v>
      </c>
      <c r="C2" s="82">
        <v>0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49536.770000000019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662756.25999999989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501814.29999999993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160941.96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598854.32999999996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598854.32999999996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598854.32999999996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113438.69999999995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80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80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80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80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79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79"/>
      <c r="N26" s="62"/>
    </row>
    <row r="27" spans="1:15" ht="18.75" customHeight="1">
      <c r="A27" s="69" t="s">
        <v>106</v>
      </c>
      <c r="B27" s="74" t="s">
        <v>3</v>
      </c>
      <c r="C27" s="85">
        <v>95116.41</v>
      </c>
      <c r="D27" s="80" t="s">
        <v>59</v>
      </c>
      <c r="E27" s="63"/>
      <c r="F27" s="63"/>
      <c r="G27" s="63"/>
      <c r="H27" s="63"/>
      <c r="I27" s="63"/>
      <c r="J27" s="63"/>
      <c r="M27" s="179"/>
      <c r="N27" s="62"/>
    </row>
    <row r="28" spans="1:15" ht="18.75" customHeight="1">
      <c r="A28" s="69" t="s">
        <v>107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79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79"/>
      <c r="N29" s="62"/>
    </row>
    <row r="30" spans="1:15" ht="18.75" customHeight="1">
      <c r="A30" s="69" t="s">
        <v>109</v>
      </c>
      <c r="B30" s="74" t="s">
        <v>17</v>
      </c>
      <c r="C30" s="85">
        <v>49579.85</v>
      </c>
      <c r="D30" s="80" t="s">
        <v>65</v>
      </c>
      <c r="E30" s="63"/>
      <c r="F30" s="63"/>
      <c r="G30" s="63"/>
      <c r="H30" s="63"/>
      <c r="I30" s="63"/>
      <c r="J30" s="63"/>
      <c r="M30" s="179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79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79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79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79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183452.11</v>
      </c>
      <c r="F37" s="93" t="s">
        <v>168</v>
      </c>
      <c r="G37" s="65"/>
      <c r="H37" s="65"/>
      <c r="I37" s="65"/>
      <c r="L37" s="62"/>
      <c r="M37" s="178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160922.90350877194</v>
      </c>
      <c r="D38" s="93" t="s">
        <v>166</v>
      </c>
      <c r="E38" s="67"/>
      <c r="G38" s="66"/>
      <c r="H38" s="66"/>
      <c r="L38" s="62"/>
      <c r="M38" s="178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200914.31999999998</v>
      </c>
      <c r="D39" s="93" t="s">
        <v>167</v>
      </c>
      <c r="E39" s="67"/>
      <c r="G39" s="66"/>
      <c r="H39" s="66"/>
      <c r="L39" s="62"/>
      <c r="M39" s="178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0</v>
      </c>
      <c r="D40" s="79" t="s">
        <v>58</v>
      </c>
      <c r="E40" s="67"/>
      <c r="G40" s="66"/>
      <c r="H40" s="66"/>
      <c r="L40" s="62"/>
      <c r="M40" s="178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183452.11</v>
      </c>
      <c r="D41" s="79" t="s">
        <v>58</v>
      </c>
      <c r="E41" s="67"/>
      <c r="G41" s="66"/>
      <c r="H41" s="66"/>
      <c r="L41" s="62"/>
      <c r="M41" s="178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183452.11</v>
      </c>
      <c r="D42" s="79" t="s">
        <v>58</v>
      </c>
      <c r="E42" s="67"/>
      <c r="G42" s="66"/>
      <c r="H42" s="66"/>
      <c r="L42" s="62"/>
      <c r="M42" s="178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78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78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82988.289999999994</v>
      </c>
      <c r="F45" s="93" t="s">
        <v>168</v>
      </c>
      <c r="G45" s="65"/>
      <c r="H45" s="65"/>
      <c r="L45" s="62"/>
      <c r="M45" s="178"/>
      <c r="N45" s="62"/>
      <c r="O45" s="62"/>
    </row>
    <row r="46" spans="1:15" ht="18.75" customHeight="1">
      <c r="A46" s="72" t="s">
        <v>123</v>
      </c>
      <c r="B46" s="77" t="s">
        <v>36</v>
      </c>
      <c r="C46" s="89">
        <v>6133.6504065040644</v>
      </c>
      <c r="D46" s="93" t="s">
        <v>169</v>
      </c>
      <c r="E46" s="67"/>
      <c r="G46" s="66"/>
      <c r="H46" s="66"/>
      <c r="L46" s="62"/>
      <c r="M46" s="178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95477.65</v>
      </c>
      <c r="D47" s="93" t="s">
        <v>167</v>
      </c>
      <c r="E47" s="67"/>
      <c r="G47" s="66"/>
      <c r="H47" s="66"/>
      <c r="L47" s="62"/>
      <c r="M47" s="178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78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82988.289999999994</v>
      </c>
      <c r="D49" s="79" t="s">
        <v>58</v>
      </c>
      <c r="E49" s="67"/>
      <c r="G49" s="66"/>
      <c r="H49" s="66"/>
      <c r="L49" s="62"/>
      <c r="M49" s="178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82988.289999999994</v>
      </c>
      <c r="D50" s="79" t="s">
        <v>58</v>
      </c>
      <c r="E50" s="67"/>
      <c r="G50" s="66"/>
      <c r="H50" s="66"/>
      <c r="L50" s="62"/>
      <c r="M50" s="178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78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78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96208.839999999967</v>
      </c>
      <c r="F53" s="93" t="s">
        <v>168</v>
      </c>
      <c r="G53" s="65"/>
      <c r="H53" s="65"/>
      <c r="L53" s="62"/>
      <c r="M53" s="178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6235.1808165910543</v>
      </c>
      <c r="D54" s="93" t="s">
        <v>169</v>
      </c>
      <c r="E54" s="68"/>
      <c r="F54" s="88"/>
      <c r="G54" s="63"/>
      <c r="H54" s="63"/>
      <c r="L54" s="62"/>
      <c r="M54" s="178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107765.72</v>
      </c>
      <c r="D55" s="93" t="s">
        <v>167</v>
      </c>
      <c r="E55" s="68"/>
      <c r="G55" s="63"/>
      <c r="H55" s="63"/>
      <c r="L55" s="62"/>
      <c r="M55" s="178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0</v>
      </c>
      <c r="D56" s="79" t="s">
        <v>58</v>
      </c>
      <c r="E56" s="68"/>
      <c r="G56" s="63"/>
      <c r="H56" s="63"/>
      <c r="L56" s="62"/>
      <c r="M56" s="178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96208.839999999967</v>
      </c>
      <c r="D57" s="79" t="s">
        <v>58</v>
      </c>
      <c r="E57" s="68"/>
      <c r="G57" s="63"/>
      <c r="H57" s="63"/>
      <c r="L57" s="62"/>
      <c r="M57" s="178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96208.839999999967</v>
      </c>
      <c r="D58" s="79" t="s">
        <v>58</v>
      </c>
      <c r="E58" s="68"/>
      <c r="G58" s="63"/>
      <c r="H58" s="63"/>
      <c r="L58" s="62"/>
      <c r="M58" s="178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78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78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110051.79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194.12568132507806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114079.90000000001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110051.79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110051.79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>
        <f>IF(E69&gt;0,"Предоставляется",0)</f>
        <v>0</v>
      </c>
      <c r="D69" s="95" t="s">
        <v>54</v>
      </c>
      <c r="E69" s="94">
        <v>0</v>
      </c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>
        <v>0</v>
      </c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>
        <v>0</v>
      </c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>
        <v>0</v>
      </c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42855.4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2021-03-16T06:20:07Z</dcterms:modified>
</cp:coreProperties>
</file>