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D4" i="2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G94" i="1"/>
  <c r="K94" i="1"/>
  <c r="A100" i="1" l="1"/>
  <c r="A111" i="1"/>
  <c r="A114" i="1"/>
  <c r="D94" i="1"/>
  <c r="A99" i="1"/>
  <c r="A110" i="1"/>
  <c r="A115" i="1"/>
  <c r="D110" i="1"/>
  <c r="A112" i="1"/>
  <c r="A117" i="1"/>
  <c r="F110" i="1"/>
  <c r="A113" i="1"/>
  <c r="A118" i="1"/>
  <c r="A120" i="1"/>
  <c r="F102" i="1"/>
  <c r="A105" i="1"/>
  <c r="D118" i="1"/>
  <c r="A123" i="1"/>
  <c r="A124" i="1"/>
  <c r="A119" i="1"/>
  <c r="A141" i="1"/>
  <c r="A95" i="1"/>
  <c r="F134" i="1"/>
  <c r="A94" i="1"/>
  <c r="A96" i="1"/>
  <c r="A137" i="1"/>
  <c r="A122" i="1"/>
  <c r="F118" i="1"/>
  <c r="A121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4" i="1" l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4" i="1" l="1"/>
  <c r="F186" i="1"/>
  <c r="H175" i="1"/>
  <c r="H177" i="1"/>
  <c r="F174" i="1"/>
  <c r="F169" i="1"/>
  <c r="H169" i="1"/>
  <c r="H174" i="1"/>
  <c r="H185" i="1"/>
  <c r="H171" i="1"/>
  <c r="F185" i="1"/>
  <c r="H180" i="1"/>
  <c r="F183" i="1"/>
  <c r="H183" i="1"/>
  <c r="F187" i="1"/>
  <c r="F165" i="1"/>
  <c r="F181" i="1"/>
  <c r="H181" i="1"/>
  <c r="H165" i="1"/>
  <c r="H176" i="1"/>
  <c r="F175" i="1"/>
  <c r="H187" i="1"/>
  <c r="F170" i="1"/>
  <c r="H166" i="1"/>
  <c r="F166" i="1"/>
  <c r="H170" i="1"/>
  <c r="H179" i="1"/>
  <c r="F164" i="1"/>
  <c r="F172" i="1"/>
  <c r="F171" i="1"/>
  <c r="F176" i="1"/>
  <c r="F173" i="1"/>
  <c r="F182" i="1"/>
  <c r="F177" i="1"/>
  <c r="H182" i="1"/>
  <c r="H186" i="1"/>
  <c r="H172" i="1"/>
  <c r="H167" i="1"/>
  <c r="F179" i="1"/>
  <c r="F178" i="1"/>
  <c r="H178" i="1"/>
  <c r="H164" i="1"/>
  <c r="H168" i="1"/>
  <c r="F168" i="1"/>
  <c r="F180" i="1"/>
  <c r="H184" i="1"/>
  <c r="H173" i="1"/>
  <c r="F16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<sst xmlns="http://schemas.openxmlformats.org/spreadsheetml/2006/main" count="581" uniqueCount="223">
  <si>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</si>
  <si>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</si>
  <si>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</si>
  <si>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</si>
  <si>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</si>
  <si>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</si>
  <si>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</si>
  <si>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</si>
  <si>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</si>
  <si>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</si>
  <si>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</si>
  <si>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</si>
  <si>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</si>
  <si>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</si>
  <si>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</si>
  <si>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</si>
  <si>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</si>
  <si>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</si>
  <si>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</si>
  <si>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</si>
  <si>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</si>
  <si>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</si>
  <si>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</si>
  <si>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</si>
  <si>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</si>
  <si>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</si>
  <si>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</si>
  <si>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</si>
  <si>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</si>
  <si>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</si>
  <si>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</si>
  <si>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</si>
  <si>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</si>
  <si>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</si>
  <si>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</si>
  <si>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</si>
  <si>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</si>
  <si>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</si>
  <si>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</si>
  <si>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</si>
  <si>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</si>
  <si>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</si>
  <si>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</si>
  <si>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</si>
  <si>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</si>
  <si>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</si>
  <si>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</si>
  <si>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</si>
  <si>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</si>
  <si>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</si>
  <si>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</si>
  <si>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</si>
  <si>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</si>
  <si>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</si>
  <si>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</si>
  <si>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</si>
  <si>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</si>
  <si>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</si>
  <si>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</si>
  <si>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</si>
  <si>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</si>
  <si>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</si>
  <si>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</si>
  <si>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</si>
  <si>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</si>
  <si>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</si>
  <si>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</si>
  <si>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</si>
  <si>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</si>
  <si>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</si>
  <si>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</si>
  <si>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</si>
  <si>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</si>
  <si>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</si>
  <si>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</si>
  <si>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</si>
  <si>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</si>
  <si>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</si>
  <si>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</si>
  <si>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</si>
  <si>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</si>
  <si>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</si>
  <si>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</si>
  <si>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</si>
  <si>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</si>
  <si>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</si>
  <si>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</si>
  <si>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</si>
  <si>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</si>
  <si>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</si>
  <si>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</si>
  <si>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</si>
  <si>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</si>
  <si>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</si>
  <si>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</si>
  <si>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</si>
  <si>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</si>
  <si>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</si>
  <si>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</si>
  <si>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</si>
  <si>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</si>
  <si>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</si>
  <si>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</si>
  <si>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</si>
  <si>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</si>
  <si>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</si>
  <si>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</si>
  <si>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</si>
  <si>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</si>
  <si>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</si>
  <si>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</si>
  <si>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</si>
  <si>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</si>
  <si>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</si>
  <si>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</si>
  <si>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</si>
  <si>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</si>
  <si>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</si>
  <si>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</si>
  <si>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</si>
  <si>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</si>
  <si>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</si>
  <si>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</si>
  <si>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</si>
  <si>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</si>
  <si>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</si>
  <si>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</si>
  <si>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</si>
  <si>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</si>
  <si>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</si>
  <si>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</si>
  <si>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</si>
  <si>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</si>
  <si>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</si>
  <si>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</si>
  <si>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</si>
  <si>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</si>
  <si>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</si>
  <si>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</si>
  <si>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</si>
  <si>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</si>
  <si>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</si>
  <si>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</si>
  <si>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</si>
  <si>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</si>
  <si>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</si>
  <si>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</si>
  <si>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</si>
  <si>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</si>
  <si>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</si>
  <si>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</si>
  <si>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</si>
  <si>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</si>
  <si>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</si>
  <si>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</si>
  <si>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</si>
  <si>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</si>
  <si>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</si>
  <si>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</si>
  <si>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</si>
  <si>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</si>
  <si>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</si>
  <si>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</si>
  <si>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</si>
  <si>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</si>
  <si>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</si>
  <si>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</si>
  <si>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</si>
  <si>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</si>
  <si>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</si>
  <si>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</si>
  <si>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</si>
  <si>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</si>
  <si>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</si>
  <si>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</si>
  <si>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</si>
  <si>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</si>
  <si>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157/1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</si>
  <si>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</si>
  <si>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</si>
  <si>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</si>
  <si>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</si>
  <si>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</si>
  <si>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</si>
  <si>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>Отчет об исполнении договора управления многоквартирного дома 
Байкальская, 157/1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</si>
  <si>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</si>
  <si>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</si>
  <si>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</si>
  <si>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</si>
  <si>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</si>
  <si>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</si>
  <si>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</si>
  <si>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</si>
  <si>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</si>
  <si>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</si>
  <si>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</si>
  <si>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</si>
  <si>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замена светильников в подъездах 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</si>
  <si>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</si>
  <si>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</si>
  <si>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</si>
  <si>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</si>
  <si>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</si>
  <si>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03.02.2023</t>
  </si>
  <si>
    <t>Замена коммутатора системы видеонаблюдения.</t>
  </si>
  <si>
    <t>АВР 2/23 от 12.04.2023, счет №31 от 12.04.2023</t>
  </si>
  <si>
    <t>Замена светодиодных светильников в кабине пассажирского лифта (2 шт., 2 подъезд).</t>
  </si>
  <si>
    <t>АВР 3/23 от 21.05.2023, счет №80 от 30.05.2023</t>
  </si>
  <si>
    <t>АВР 4/23 от 23.06.2023</t>
  </si>
  <si>
    <t>Приобретение и монтаж прожекторов над подъездами.</t>
  </si>
  <si>
    <t>Приобретение и установка источника стабилизированного питания системы видеонаблюдения.</t>
  </si>
  <si>
    <t>АВР 5/23 от 30.12.2023</t>
  </si>
  <si>
    <t>АВР 7/23 от 30.12.2023</t>
  </si>
  <si>
    <t>АВР 6/23 от 11.04.2023</t>
  </si>
  <si>
    <t>АВР 8/23 от 11.07.2023, счет №5268 от 11.07.2023</t>
  </si>
  <si>
    <t>АВР 9/23 от 24.07.2023, счет №53 от 24.07.2023</t>
  </si>
  <si>
    <t>АВР 10/23 от 22.09.2023, Решение, счет №451 от 22.09.2023</t>
  </si>
  <si>
    <t>Перенос камер системы видеонаблюдения.</t>
  </si>
  <si>
    <t>Решение, счет №7 от 01.02.2023</t>
  </si>
  <si>
    <t xml:space="preserve">  -  установка дополнительных камер системы видеонаблюдения</t>
  </si>
  <si>
    <t>Дополнительная уборка придомовой территории.</t>
  </si>
  <si>
    <t>Приобретение и замена  манометров (10 шт.) и термометров (15 шт.).</t>
  </si>
  <si>
    <t xml:space="preserve">  -  приобретение и установка решетчатой двери на спуске в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</si>
</sst>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4" fontId="32" fillId="0" borderId="0" xfId="0" applyNumberFormat="1" applyFont="1" applyFill="1" applyBorder="1" applyAlignment="1"/>
    <xf numFmtId="0" fontId="19" fillId="0" borderId="0" xfId="4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7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34" fillId="3" borderId="0" xfId="8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4" fontId="24" fillId="0" borderId="0" xfId="1" applyNumberFormat="1" applyFont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>
      <alignment horizontal="left"/>
    </xf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0" fillId="0" borderId="0" xfId="2" applyFont="1" applyFill="1" applyBorder="1" applyAlignment="1"/>
    <xf numFmtId="0" fontId="32" fillId="0" borderId="0" xfId="7" applyFont="1" applyFill="1" applyBorder="1" applyAlignment="1"/>
    <xf numFmtId="0" fontId="9" fillId="0" borderId="0" xfId="7" applyFont="1" applyFill="1" applyBorder="1" applyAlignment="1">
      <alignment horizontal="center"/>
    </xf>
    <xf numFmtId="0" fontId="16" fillId="0" borderId="0" xfId="7" applyFill="1" applyBorder="1" applyAlignment="1">
      <alignment horizontal="center"/>
    </xf>
    <xf numFmtId="4" fontId="32" fillId="0" borderId="0" xfId="7" applyNumberFormat="1" applyFont="1" applyFill="1" applyBorder="1" applyAlignment="1"/>
    <xf numFmtId="0" fontId="8" fillId="0" borderId="0" xfId="4" applyFont="1" applyFill="1" applyBorder="1" applyAlignment="1">
      <alignment horizontal="center"/>
    </xf>
    <xf numFmtId="0" fontId="18" fillId="0" borderId="0" xfId="5" applyFill="1" applyBorder="1" applyAlignment="1"/>
    <xf numFmtId="0" fontId="18" fillId="0" borderId="0" xfId="5" applyFill="1" applyBorder="1" applyAlignment="1">
      <alignment horizontal="center"/>
    </xf>
    <xf numFmtId="1" fontId="18" fillId="0" borderId="0" xfId="5" applyNumberFormat="1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0" fillId="0" borderId="0" xfId="0" applyFill="1"/>
    <xf numFmtId="0" fontId="32" fillId="0" borderId="0" xfId="5" applyFont="1" applyFill="1" applyBorder="1" applyAlignment="1">
      <alignment horizontal="center"/>
    </xf>
    <xf numFmtId="0" fontId="32" fillId="0" borderId="0" xfId="5" applyFont="1" applyFill="1" applyBorder="1" applyAlignment="1">
      <alignment wrapText="1"/>
    </xf>
    <xf numFmtId="0" fontId="7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7" applyFont="1" applyFill="1" applyBorder="1" applyAlignment="1">
      <alignment horizontal="center"/>
    </xf>
    <xf numFmtId="0" fontId="3" fillId="6" borderId="0" xfId="2" applyFont="1" applyFill="1" applyBorder="1" applyAlignment="1"/>
    <xf numFmtId="0" fontId="3" fillId="6" borderId="0" xfId="7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0" fontId="0" fillId="6" borderId="0" xfId="0" applyFill="1" applyBorder="1"/>
    <xf numFmtId="0" fontId="2" fillId="0" borderId="0" xfId="2" applyFont="1" applyFill="1" applyBorder="1" applyAlignment="1"/>
    <xf numFmtId="0" fontId="2" fillId="0" borderId="0" xfId="9" applyFont="1" applyFill="1" applyBorder="1" applyAlignment="1"/>
    <xf numFmtId="0" fontId="25" fillId="0" borderId="0" xfId="0" applyFont="1" applyBorder="1" applyAlignment="1">
      <alignment wrapText="1"/>
    </xf>
    <xf numFmtId="4" fontId="24" fillId="0" borderId="0" xfId="0" applyNumberFormat="1" applyFont="1" applyBorder="1"/>
    <xf numFmtId="0" fontId="1" fillId="0" borderId="0" xfId="2" applyFont="1" applyFill="1" applyBorder="1" applyAlignment="1"/>
    <xf numFmtId="0" fontId="5" fillId="0" borderId="0" xfId="7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5" xfId="8"/>
    <cellStyle name="Обычный 3" xfId="2"/>
    <cellStyle name="Обычный 4" xfId="4"/>
    <cellStyle name="Обычный 4 2" xfId="7"/>
    <cellStyle name="Обычный 5" xfId="5"/>
    <cellStyle name="Обычный 5 7" xfId="9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8"/>
      <c r="L8" s="183"/>
      <c r="M8" s="108"/>
      <c r="N8" s="108"/>
      <c r="O8" s="69" t="s">
        <v>82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8"/>
      <c r="L9" s="183"/>
      <c r="M9" s="108"/>
      <c r="N9" s="108"/>
      <c r="O9" s="69" t="s">
        <v>83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387220.15</v>
      </c>
      <c r="K10" s="108"/>
      <c r="L10" s="183"/>
      <c r="M10" s="108"/>
      <c r="N10" s="108"/>
      <c r="O10" s="69" t="s">
        <v>84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1300794.72</v>
      </c>
      <c r="K11" s="108"/>
      <c r="L11" s="183"/>
      <c r="M11" s="108"/>
      <c r="N11" s="108"/>
      <c r="O11" s="69" t="s">
        <v>85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980976.72</v>
      </c>
      <c r="K12" s="108"/>
      <c r="L12" s="183"/>
      <c r="M12" s="108"/>
      <c r="N12" s="108"/>
      <c r="O12" s="69" t="s">
        <v>86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319818</v>
      </c>
      <c r="K13" s="108"/>
      <c r="L13" s="183"/>
      <c r="M13" s="108"/>
      <c r="N13" s="108"/>
      <c r="O13" s="69" t="s">
        <v>87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0</v>
      </c>
      <c r="K14" s="108"/>
      <c r="L14" s="183"/>
      <c r="M14" s="108"/>
      <c r="N14" s="108"/>
      <c r="O14" s="69" t="s">
        <v>88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1304472.19</v>
      </c>
      <c r="K15" s="108"/>
      <c r="L15" s="183"/>
      <c r="M15" s="108"/>
      <c r="N15" s="108"/>
      <c r="O15" s="69" t="s">
        <v>89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1304472.19</v>
      </c>
      <c r="K16" s="108"/>
      <c r="L16" s="183"/>
      <c r="M16" s="108"/>
      <c r="N16" s="108"/>
      <c r="O16" s="69" t="s">
        <v>90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8"/>
      <c r="L17" s="183"/>
      <c r="M17" s="108"/>
      <c r="N17" s="108"/>
      <c r="O17" s="69" t="s">
        <v>91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8"/>
      <c r="L18" s="183"/>
      <c r="M18" s="108"/>
      <c r="N18" s="108"/>
      <c r="O18" s="69" t="s">
        <v>92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8"/>
      <c r="L19" s="183"/>
      <c r="M19" s="108"/>
      <c r="N19" s="108"/>
      <c r="O19" s="69" t="s">
        <v>93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8"/>
      <c r="L20" s="183"/>
      <c r="M20" s="108"/>
      <c r="N20" s="108"/>
      <c r="O20" s="69" t="s">
        <v>94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1304472.19</v>
      </c>
      <c r="K21" s="108"/>
      <c r="L21" s="183"/>
      <c r="M21" s="108"/>
      <c r="N21" s="108"/>
      <c r="O21" s="69" t="s">
        <v>95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8"/>
      <c r="L22" s="183"/>
      <c r="M22" s="108"/>
      <c r="N22" s="108"/>
      <c r="O22" s="69" t="s">
        <v>96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8"/>
      <c r="L23" s="183"/>
      <c r="M23" s="108"/>
      <c r="N23" s="108"/>
      <c r="O23" s="69" t="s">
        <v>97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383542.68000000017</v>
      </c>
      <c r="K24" s="108"/>
      <c r="L24" s="183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8"/>
      <c r="L27" s="184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72">
        <f>VLOOKUP(A28,ПТО!$A$39:$D$53,2,FALSE)</f>
        <v>416630.04</v>
      </c>
      <c r="G28" s="172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8"/>
      <c r="L28" s="184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72">
        <f>VLOOKUP(A29,ПТО!$A$39:$D$53,2,FALSE)</f>
        <v>107803.8</v>
      </c>
      <c r="G29" s="172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08"/>
      <c r="L29" s="184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72">
        <f>VLOOKUP(A30,ПТО!$A$39:$D$53,2,FALSE)</f>
        <v>45658.080000000002</v>
      </c>
      <c r="G30" s="172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8"/>
      <c r="L30" s="184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72">
        <f>VLOOKUP(A31,ПТО!$A$39:$D$53,2,FALSE)</f>
        <v>76096.800000000003</v>
      </c>
      <c r="G31" s="172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8"/>
      <c r="L31" s="184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8"/>
      <c r="L32" s="184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72">
        <f>VLOOKUP(A33,ПТО!$A$39:$D$53,2,FALSE)</f>
        <v>22194.959999999999</v>
      </c>
      <c r="G33" s="172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8"/>
      <c r="L33" s="184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72">
        <f>VLOOKUP(A34,ПТО!$A$39:$D$53,2,FALSE)</f>
        <v>111608.64</v>
      </c>
      <c r="G34" s="172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8"/>
      <c r="L34" s="184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7"/>
      <c r="C35" s="167"/>
      <c r="D35" s="167"/>
      <c r="E35" s="167"/>
      <c r="F35" s="172">
        <f>VLOOKUP(A35,ПТО!$A$39:$D$53,2,FALSE)</f>
        <v>253021.92</v>
      </c>
      <c r="G35" s="172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08"/>
      <c r="L35" s="184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72" t="e">
        <f>VLOOKUP(A36,ПТО!$A$39:$D$53,2,FALSE)</f>
        <v>#N/A</v>
      </c>
      <c r="G36" s="172"/>
      <c r="H36" s="42" t="e">
        <f>VLOOKUP(A36,ПТО!$A$39:$D$53,3,FALSE)</f>
        <v>#N/A</v>
      </c>
      <c r="I36" s="168" t="e">
        <f>VLOOKUP(A36,ПТО!$A$39:$D$53,4,FALSE)</f>
        <v>#N/A</v>
      </c>
      <c r="J36" s="168"/>
      <c r="K36" s="108"/>
      <c r="L36" s="184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8"/>
      <c r="L37" s="184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8"/>
      <c r="L38" s="184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8"/>
      <c r="L39" s="184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8"/>
      <c r="L40" s="184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8"/>
      <c r="L41" s="184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8"/>
      <c r="L42" s="184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обслуживание системы видеонаблюдения.</v>
      </c>
      <c r="B43" s="167"/>
      <c r="C43" s="167"/>
      <c r="D43" s="167"/>
      <c r="E43" s="167"/>
      <c r="F43" s="172">
        <f>VLOOKUP(A43,ПТО!$A$2:$D$31,4,FALSE)</f>
        <v>33600</v>
      </c>
      <c r="G43" s="172"/>
      <c r="H43" s="19" t="str">
        <f>VLOOKUP(A43,ПТО!$A$2:$D$31,2,FALSE)</f>
        <v>ежемесячно</v>
      </c>
      <c r="I43" s="168">
        <f>VLOOKUP(A43,ПТО!$A$2:$D$31,3,FALSE)</f>
        <v>12</v>
      </c>
      <c r="J43" s="168"/>
      <c r="K43" s="108"/>
      <c r="L43" s="184"/>
      <c r="M43" s="115"/>
      <c r="N43" s="108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67" t="str">
        <f>ПТО!A3</f>
        <v>Техническое освидетельствование лифтов.</v>
      </c>
      <c r="B44" s="167"/>
      <c r="C44" s="167"/>
      <c r="D44" s="167"/>
      <c r="E44" s="167"/>
      <c r="F44" s="172">
        <f>VLOOKUP(A44,ПТО!$A$2:$D$31,4,FALSE)</f>
        <v>16200</v>
      </c>
      <c r="G44" s="172"/>
      <c r="H44" s="25" t="str">
        <f>VLOOKUP(A44,ПТО!$A$2:$D$31,2,FALSE)</f>
        <v>ежегодно</v>
      </c>
      <c r="I44" s="168">
        <f>VLOOKUP(A44,ПТО!$A$2:$D$31,3,FALSE)</f>
        <v>2</v>
      </c>
      <c r="J44" s="168"/>
      <c r="K44" s="108"/>
      <c r="L44" s="184"/>
      <c r="M44" s="115"/>
      <c r="N44" s="108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7" t="str">
        <f>ПТО!A4</f>
        <v>Техническое обслуживание охранной сигнализации.</v>
      </c>
      <c r="B45" s="167"/>
      <c r="C45" s="167"/>
      <c r="D45" s="167"/>
      <c r="E45" s="167"/>
      <c r="F45" s="172">
        <f>VLOOKUP(A45,ПТО!$A$2:$D$31,4,FALSE)</f>
        <v>14400</v>
      </c>
      <c r="G45" s="172"/>
      <c r="H45" s="25" t="str">
        <f>VLOOKUP(A45,ПТО!$A$2:$D$31,2,FALSE)</f>
        <v>ежемесячно</v>
      </c>
      <c r="I45" s="168">
        <f>VLOOKUP(A45,ПТО!$A$2:$D$31,3,FALSE)</f>
        <v>12</v>
      </c>
      <c r="J45" s="168"/>
      <c r="K45" s="108"/>
      <c r="L45" s="184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67" t="str">
        <f>ПТО!A5</f>
        <v>Механизированная уборка и вывоз снега с придомовой территории.</v>
      </c>
      <c r="B46" s="167"/>
      <c r="C46" s="167"/>
      <c r="D46" s="167"/>
      <c r="E46" s="167"/>
      <c r="F46" s="172">
        <f>VLOOKUP(A46,ПТО!$A$2:$D$31,4,FALSE)</f>
        <v>46560</v>
      </c>
      <c r="G46" s="172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8"/>
      <c r="L46" s="184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67" t="str">
        <f>ПТО!A6</f>
        <v>Замена коммутатора системы видеонаблюдения.</v>
      </c>
      <c r="B47" s="167"/>
      <c r="C47" s="167"/>
      <c r="D47" s="167"/>
      <c r="E47" s="167"/>
      <c r="F47" s="172">
        <f>VLOOKUP(A47,ПТО!$A$2:$D$31,4,FALSE)</f>
        <v>1650</v>
      </c>
      <c r="G47" s="172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8"/>
      <c r="L47" s="184"/>
      <c r="M47" s="115"/>
      <c r="N47" s="108"/>
      <c r="O47" s="23" t="str">
        <f t="shared" si="1"/>
        <v>Замена коммутатора системы видеонаблюдения.</v>
      </c>
      <c r="R47" s="22" t="s">
        <v>72</v>
      </c>
    </row>
    <row r="48" spans="1:18" ht="51" customHeight="1" outlineLevel="1">
      <c r="A48" s="167" t="str">
        <f>ПТО!A7</f>
        <v>Замена светодиодных светильников в кабине пассажирского лифта (2 шт., 2 подъезд).</v>
      </c>
      <c r="B48" s="167"/>
      <c r="C48" s="167"/>
      <c r="D48" s="167"/>
      <c r="E48" s="167"/>
      <c r="F48" s="172">
        <f>VLOOKUP(A48,ПТО!$A$2:$D$31,4,FALSE)</f>
        <v>1960</v>
      </c>
      <c r="G48" s="172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8"/>
      <c r="L48" s="184"/>
      <c r="M48" s="115"/>
      <c r="N48" s="108"/>
      <c r="O48" s="23" t="str">
        <f t="shared" si="1"/>
        <v>Замена светодиодных светильников в кабине пассажирского лифта (2 шт., 2 подъезд).</v>
      </c>
      <c r="R48" s="22" t="s">
        <v>72</v>
      </c>
    </row>
    <row r="49" spans="1:18" ht="51" customHeight="1" outlineLevel="1">
      <c r="A49" s="167" t="str">
        <f>ПТО!A8</f>
        <v>Дополнительная уборка придомовой территории.</v>
      </c>
      <c r="B49" s="167"/>
      <c r="C49" s="167"/>
      <c r="D49" s="167"/>
      <c r="E49" s="167"/>
      <c r="F49" s="172">
        <f>VLOOKUP(A49,ПТО!$A$2:$D$31,4,FALSE)</f>
        <v>2000</v>
      </c>
      <c r="G49" s="172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8"/>
      <c r="L49" s="184"/>
      <c r="M49" s="115"/>
      <c r="N49" s="108"/>
      <c r="O49" s="23" t="str">
        <f t="shared" si="1"/>
        <v>Дополнительная уборка придомовой территории.</v>
      </c>
      <c r="R49" s="22" t="s">
        <v>72</v>
      </c>
    </row>
    <row r="50" spans="1:18" ht="51" customHeight="1" outlineLevel="1">
      <c r="A50" s="167" t="str">
        <f>ПТО!A9</f>
        <v>Приобретение и замена  манометров (10 шт.) и термометров (15 шт.).</v>
      </c>
      <c r="B50" s="167"/>
      <c r="C50" s="167"/>
      <c r="D50" s="167"/>
      <c r="E50" s="167"/>
      <c r="F50" s="172">
        <f>VLOOKUP(A50,ПТО!$A$2:$D$31,4,FALSE)</f>
        <v>4991.78</v>
      </c>
      <c r="G50" s="172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8"/>
      <c r="L50" s="184"/>
      <c r="M50" s="115"/>
      <c r="N50" s="108"/>
      <c r="O50" s="23" t="str">
        <f t="shared" si="1"/>
        <v>Приобретение и замена  манометров (10 шт.) и термометров (15 шт.).</v>
      </c>
      <c r="R50" s="22" t="s">
        <v>72</v>
      </c>
    </row>
    <row r="51" spans="1:18" ht="51" customHeight="1" outlineLevel="1">
      <c r="A51" s="167" t="str">
        <f>ПТО!A10</f>
        <v>Приобретение и установка источника стабилизированного питания системы видеонаблюдения.</v>
      </c>
      <c r="B51" s="167"/>
      <c r="C51" s="167"/>
      <c r="D51" s="167"/>
      <c r="E51" s="167"/>
      <c r="F51" s="172">
        <f>VLOOKUP(A51,ПТО!$A$2:$D$31,4,FALSE)</f>
        <v>790</v>
      </c>
      <c r="G51" s="172"/>
      <c r="H51" s="25" t="str">
        <f>VLOOKUP(A51,ПТО!$A$2:$D$31,2,FALSE)</f>
        <v>разово</v>
      </c>
      <c r="I51" s="168">
        <f>VLOOKUP(A51,ПТО!$A$2:$D$31,3,FALSE)</f>
        <v>1</v>
      </c>
      <c r="J51" s="168"/>
      <c r="K51" s="108"/>
      <c r="L51" s="184"/>
      <c r="M51" s="115"/>
      <c r="N51" s="108"/>
      <c r="O51" s="23" t="str">
        <f t="shared" si="1"/>
        <v>Приобретение и установка источника стабилизированного питания системы видеонаблюдения.</v>
      </c>
      <c r="R51" s="22" t="s">
        <v>72</v>
      </c>
    </row>
    <row r="52" spans="1:18" ht="51" customHeight="1" outlineLevel="1">
      <c r="A52" s="167" t="str">
        <f>ПТО!A11</f>
        <v>Приобретение и монтаж прожекторов над подъездами.</v>
      </c>
      <c r="B52" s="167"/>
      <c r="C52" s="167"/>
      <c r="D52" s="167"/>
      <c r="E52" s="167"/>
      <c r="F52" s="172">
        <f>VLOOKUP(A52,ПТО!$A$2:$D$31,4,FALSE)</f>
        <v>29790</v>
      </c>
      <c r="G52" s="172"/>
      <c r="H52" s="25" t="str">
        <f>VLOOKUP(A52,ПТО!$A$2:$D$31,2,FALSE)</f>
        <v>разово</v>
      </c>
      <c r="I52" s="168">
        <f>VLOOKUP(A52,ПТО!$A$2:$D$31,3,FALSE)</f>
        <v>1</v>
      </c>
      <c r="J52" s="168"/>
      <c r="K52" s="108"/>
      <c r="L52" s="184"/>
      <c r="M52" s="115"/>
      <c r="N52" s="108"/>
      <c r="O52" s="23" t="str">
        <f t="shared" si="1"/>
        <v>Приобретение и монтаж прожекторов над подъездами.</v>
      </c>
      <c r="R52" s="22" t="s">
        <v>72</v>
      </c>
    </row>
    <row r="53" spans="1:18" ht="51" customHeight="1" outlineLevel="1">
      <c r="A53" s="167" t="str">
        <f>ПТО!A12</f>
        <v>Перенос камер системы видеонаблюдения.</v>
      </c>
      <c r="B53" s="167"/>
      <c r="C53" s="167"/>
      <c r="D53" s="167"/>
      <c r="E53" s="167"/>
      <c r="F53" s="172">
        <f>VLOOKUP(A53,ПТО!$A$2:$D$31,4,FALSE)</f>
        <v>7000</v>
      </c>
      <c r="G53" s="172"/>
      <c r="H53" s="25" t="str">
        <f>VLOOKUP(A53,ПТО!$A$2:$D$31,2,FALSE)</f>
        <v>разово</v>
      </c>
      <c r="I53" s="168">
        <f>VLOOKUP(A53,ПТО!$A$2:$D$31,3,FALSE)</f>
        <v>1</v>
      </c>
      <c r="J53" s="168"/>
      <c r="K53" s="108"/>
      <c r="L53" s="184"/>
      <c r="M53" s="115"/>
      <c r="N53" s="108"/>
      <c r="O53" s="23" t="str">
        <f t="shared" si="1"/>
        <v>Перенос камер системы видеонаблюдения.</v>
      </c>
      <c r="R53" s="22" t="s">
        <v>72</v>
      </c>
    </row>
    <row r="54" spans="1:18" ht="51" hidden="1" customHeight="1" outlineLevel="1">
      <c r="A54" s="167">
        <f>ПТО!A13</f>
        <v>0</v>
      </c>
      <c r="B54" s="167"/>
      <c r="C54" s="167"/>
      <c r="D54" s="167"/>
      <c r="E54" s="167"/>
      <c r="F54" s="172" t="e">
        <f>VLOOKUP(A54,ПТО!$A$2:$D$31,4,FALSE)</f>
        <v>#N/A</v>
      </c>
      <c r="G54" s="172"/>
      <c r="H54" s="25" t="e">
        <f>VLOOKUP(A54,ПТО!$A$2:$D$31,2,FALSE)</f>
        <v>#N/A</v>
      </c>
      <c r="I54" s="168" t="e">
        <f>VLOOKUP(A54,ПТО!$A$2:$D$31,3,FALSE)</f>
        <v>#N/A</v>
      </c>
      <c r="J54" s="168"/>
      <c r="K54" s="108"/>
      <c r="L54" s="184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67">
        <f>ПТО!A14</f>
        <v>0</v>
      </c>
      <c r="B55" s="167"/>
      <c r="C55" s="167"/>
      <c r="D55" s="167"/>
      <c r="E55" s="167"/>
      <c r="F55" s="172" t="e">
        <f>VLOOKUP(A55,ПТО!$A$2:$D$31,4,FALSE)</f>
        <v>#N/A</v>
      </c>
      <c r="G55" s="172"/>
      <c r="H55" s="25" t="e">
        <f>VLOOKUP(A55,ПТО!$A$2:$D$31,2,FALSE)</f>
        <v>#N/A</v>
      </c>
      <c r="I55" s="168" t="e">
        <f>VLOOKUP(A55,ПТО!$A$2:$D$31,3,FALSE)</f>
        <v>#N/A</v>
      </c>
      <c r="J55" s="168"/>
      <c r="K55" s="108"/>
      <c r="L55" s="184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7">
        <f>ПТО!A15</f>
        <v>0</v>
      </c>
      <c r="B56" s="167"/>
      <c r="C56" s="167"/>
      <c r="D56" s="167"/>
      <c r="E56" s="167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68" t="e">
        <f>VLOOKUP(A56,ПТО!$A$2:$D$31,3,FALSE)</f>
        <v>#N/A</v>
      </c>
      <c r="J56" s="168"/>
      <c r="K56" s="108"/>
      <c r="L56" s="184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7">
        <f>ПТО!A16</f>
        <v>0</v>
      </c>
      <c r="B57" s="167"/>
      <c r="C57" s="167"/>
      <c r="D57" s="167"/>
      <c r="E57" s="167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68" t="e">
        <f>VLOOKUP(A57,ПТО!$A$2:$D$31,3,FALSE)</f>
        <v>#N/A</v>
      </c>
      <c r="J57" s="168"/>
      <c r="K57" s="108"/>
      <c r="L57" s="184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7">
        <f>ПТО!A17</f>
        <v>0</v>
      </c>
      <c r="B58" s="167"/>
      <c r="C58" s="167"/>
      <c r="D58" s="167"/>
      <c r="E58" s="167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68" t="e">
        <f>VLOOKUP(A58,ПТО!$A$2:$D$31,3,FALSE)</f>
        <v>#N/A</v>
      </c>
      <c r="J58" s="168"/>
      <c r="K58" s="108"/>
      <c r="L58" s="184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8"/>
      <c r="L59" s="184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8"/>
      <c r="L60" s="184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8"/>
      <c r="L61" s="184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8"/>
      <c r="L62" s="184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8"/>
      <c r="L63" s="184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8"/>
      <c r="L64" s="184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8"/>
      <c r="L65" s="184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8"/>
      <c r="L66" s="184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8"/>
      <c r="L67" s="184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8"/>
      <c r="L68" s="184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8"/>
      <c r="L69" s="184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8"/>
      <c r="L70" s="184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8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8"/>
      <c r="L72" s="184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8"/>
      <c r="L75" s="187"/>
      <c r="M75" s="108"/>
      <c r="N75" s="108"/>
      <c r="O75" s="69" t="s">
        <v>99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8"/>
      <c r="L76" s="187"/>
      <c r="M76" s="108"/>
      <c r="N76" s="108"/>
      <c r="O76" s="69" t="s">
        <v>100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8"/>
      <c r="L77" s="187"/>
      <c r="M77" s="108"/>
      <c r="N77" s="108"/>
      <c r="O77" s="69" t="s">
        <v>101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6">
        <f>VLOOKUP(O78,АО,3,FALSE)</f>
        <v>0</v>
      </c>
      <c r="K78" s="108"/>
      <c r="L78" s="187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6">
        <f t="shared" ref="J81:J90" si="2">VLOOKUP(O81,АО,3,FALSE)</f>
        <v>0</v>
      </c>
      <c r="K81" s="108"/>
      <c r="L81" s="173"/>
      <c r="M81" s="108"/>
      <c r="N81" s="108"/>
      <c r="O81" s="69" t="s">
        <v>103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6">
        <f t="shared" si="2"/>
        <v>0</v>
      </c>
      <c r="K82" s="108"/>
      <c r="L82" s="173"/>
      <c r="M82" s="108"/>
      <c r="N82" s="108"/>
      <c r="O82" s="69" t="s">
        <v>104</v>
      </c>
    </row>
    <row r="83" spans="1:15" outlineLevel="1">
      <c r="A83" s="179" t="s">
        <v>4</v>
      </c>
      <c r="B83" s="180"/>
      <c r="C83" s="180"/>
      <c r="D83" s="180"/>
      <c r="E83" s="180"/>
      <c r="F83" s="180"/>
      <c r="G83" s="180"/>
      <c r="H83" s="180"/>
      <c r="I83" s="181"/>
      <c r="J83" s="96">
        <f t="shared" si="2"/>
        <v>327903.52</v>
      </c>
      <c r="K83" s="108"/>
      <c r="L83" s="173"/>
      <c r="M83" s="108"/>
      <c r="N83" s="108"/>
      <c r="O83" s="69" t="s">
        <v>105</v>
      </c>
    </row>
    <row r="84" spans="1:15" outlineLevel="1">
      <c r="A84" s="179" t="s">
        <v>16</v>
      </c>
      <c r="B84" s="180"/>
      <c r="C84" s="180"/>
      <c r="D84" s="180"/>
      <c r="E84" s="180"/>
      <c r="F84" s="180"/>
      <c r="G84" s="180"/>
      <c r="H84" s="180"/>
      <c r="I84" s="181"/>
      <c r="J84" s="96">
        <f t="shared" si="2"/>
        <v>0</v>
      </c>
      <c r="K84" s="108"/>
      <c r="L84" s="173"/>
      <c r="M84" s="108"/>
      <c r="N84" s="108"/>
      <c r="O84" s="69" t="s">
        <v>106</v>
      </c>
    </row>
    <row r="85" spans="1:15" outlineLevel="1">
      <c r="A85" s="179" t="s">
        <v>17</v>
      </c>
      <c r="B85" s="180"/>
      <c r="C85" s="180"/>
      <c r="D85" s="180"/>
      <c r="E85" s="180"/>
      <c r="F85" s="180"/>
      <c r="G85" s="180"/>
      <c r="H85" s="180"/>
      <c r="I85" s="181"/>
      <c r="J85" s="96">
        <f t="shared" si="2"/>
        <v>0</v>
      </c>
      <c r="K85" s="108"/>
      <c r="L85" s="173"/>
      <c r="M85" s="108"/>
      <c r="N85" s="108"/>
      <c r="O85" s="69" t="s">
        <v>107</v>
      </c>
    </row>
    <row r="86" spans="1:15" outlineLevel="1">
      <c r="A86" s="179" t="s">
        <v>18</v>
      </c>
      <c r="B86" s="180"/>
      <c r="C86" s="180"/>
      <c r="D86" s="180"/>
      <c r="E86" s="180"/>
      <c r="F86" s="180"/>
      <c r="G86" s="180"/>
      <c r="H86" s="180"/>
      <c r="I86" s="181"/>
      <c r="J86" s="96">
        <f t="shared" si="2"/>
        <v>299602.18</v>
      </c>
      <c r="K86" s="108"/>
      <c r="L86" s="173"/>
      <c r="M86" s="108"/>
      <c r="N86" s="108"/>
      <c r="O86" s="69" t="s">
        <v>108</v>
      </c>
    </row>
    <row r="87" spans="1:15" ht="18.75" customHeight="1" outlineLevel="1">
      <c r="A87" s="179" t="s">
        <v>27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08"/>
      <c r="L87" s="173"/>
      <c r="M87" s="108"/>
      <c r="N87" s="108"/>
      <c r="O87" s="69" t="s">
        <v>109</v>
      </c>
    </row>
    <row r="88" spans="1:15" ht="18.75" customHeight="1" outlineLevel="1">
      <c r="A88" s="179" t="s">
        <v>28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08"/>
      <c r="L88" s="173"/>
      <c r="M88" s="108"/>
      <c r="N88" s="108"/>
      <c r="O88" s="69" t="s">
        <v>110</v>
      </c>
    </row>
    <row r="89" spans="1:15" ht="18.75" customHeight="1" outlineLevel="1">
      <c r="A89" s="179" t="s">
        <v>29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08"/>
      <c r="L89" s="173"/>
      <c r="M89" s="108"/>
      <c r="N89" s="108"/>
      <c r="O89" s="69" t="s">
        <v>111</v>
      </c>
    </row>
    <row r="90" spans="1:15" ht="18.75" customHeight="1" outlineLevel="1">
      <c r="A90" s="179" t="s">
        <v>30</v>
      </c>
      <c r="B90" s="180"/>
      <c r="C90" s="180"/>
      <c r="D90" s="180"/>
      <c r="E90" s="180"/>
      <c r="F90" s="180"/>
      <c r="G90" s="180"/>
      <c r="H90" s="180"/>
      <c r="I90" s="181"/>
      <c r="J90" s="96">
        <f t="shared" si="2"/>
        <v>0</v>
      </c>
      <c r="K90" s="108"/>
      <c r="L90" s="173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8" t="s">
        <v>48</v>
      </c>
      <c r="B93" s="188"/>
      <c r="C93" s="188"/>
      <c r="D93" s="189" t="s">
        <v>49</v>
      </c>
      <c r="E93" s="189"/>
      <c r="F93" s="10" t="s">
        <v>50</v>
      </c>
      <c r="G93" s="188" t="s">
        <v>51</v>
      </c>
      <c r="H93" s="188"/>
      <c r="I93" s="188"/>
      <c r="J93" s="188"/>
      <c r="K93" s="108"/>
      <c r="L93" s="108"/>
      <c r="M93" s="108"/>
      <c r="N93" s="108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71">
        <f>VLOOKUP("эл",АО,5,FALSE)</f>
        <v>1047744.05</v>
      </c>
      <c r="H94" s="170"/>
      <c r="I94" s="170"/>
      <c r="J94" s="170"/>
      <c r="K94" s="1" t="str">
        <f>VLOOKUP("эл",АО,2,FALSE)</f>
        <v>Электроснабжение</v>
      </c>
      <c r="L94" s="174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770400.04</v>
      </c>
      <c r="L95" s="174"/>
      <c r="O95" s="1" t="s">
        <v>113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1076560.82</v>
      </c>
      <c r="L96" s="174"/>
      <c r="O96" s="1" t="s">
        <v>114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0</v>
      </c>
      <c r="L97" s="174"/>
      <c r="O97" s="1" t="s">
        <v>115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1047744.05</v>
      </c>
      <c r="L98" s="174"/>
      <c r="O98" s="1" t="s">
        <v>116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1047744.05</v>
      </c>
      <c r="L99" s="174"/>
      <c r="O99" s="1" t="s">
        <v>117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74"/>
      <c r="O100" s="1" t="s">
        <v>118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71">
        <f>VLOOKUP("хвс",АО,5,FALSE)</f>
        <v>235116.71</v>
      </c>
      <c r="H102" s="170"/>
      <c r="I102" s="170"/>
      <c r="J102" s="170"/>
      <c r="L102" s="174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16137.04</v>
      </c>
      <c r="L103" s="174"/>
      <c r="O103" s="1" t="s">
        <v>122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233616.6</v>
      </c>
      <c r="L104" s="174"/>
      <c r="O104" s="1" t="s">
        <v>123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1500.109999999986</v>
      </c>
      <c r="L105" s="174"/>
      <c r="O105" s="1" t="s">
        <v>124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235116.71</v>
      </c>
      <c r="L106" s="174"/>
      <c r="O106" s="1" t="s">
        <v>125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235116.71</v>
      </c>
      <c r="L107" s="174"/>
      <c r="O107" s="1" t="s">
        <v>126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71">
        <f>VLOOKUP("воо",АО,5,FALSE)</f>
        <v>264344.39</v>
      </c>
      <c r="H110" s="170"/>
      <c r="I110" s="170"/>
      <c r="J110" s="170"/>
      <c r="L110" s="174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14926.28</v>
      </c>
      <c r="L111" s="174"/>
      <c r="O111" s="1" t="s">
        <v>130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265965.68</v>
      </c>
      <c r="L112" s="174"/>
      <c r="O112" s="1" t="s">
        <v>131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74"/>
      <c r="O113" s="1" t="s">
        <v>132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264344.39</v>
      </c>
      <c r="L114" s="174"/>
      <c r="O114" s="1" t="s">
        <v>133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264344.39</v>
      </c>
      <c r="L115" s="174"/>
      <c r="O115" s="1" t="s">
        <v>134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9" t="str">
        <f>IF(VLOOKUP("тко",АО,3,FALSE)&gt;0,"Обращение с ТКО",0)</f>
        <v>Обращение с ТКО</v>
      </c>
      <c r="B118" s="169"/>
      <c r="C118" s="169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71">
        <f>VLOOKUP("тко",АО,5,FALSE)</f>
        <v>225902.12</v>
      </c>
      <c r="H118" s="170"/>
      <c r="I118" s="170"/>
      <c r="J118" s="170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418.03</v>
      </c>
      <c r="L119" s="47"/>
      <c r="O119" s="1" t="s">
        <v>138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225265.51</v>
      </c>
      <c r="L120" s="47"/>
      <c r="O120" s="1" t="s">
        <v>139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636.60999999998603</v>
      </c>
      <c r="L121" s="47"/>
      <c r="O121" s="1" t="s">
        <v>140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225902.12</v>
      </c>
      <c r="L122" s="47"/>
      <c r="O122" s="1" t="s">
        <v>141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225902.12</v>
      </c>
      <c r="L123" s="47"/>
      <c r="O123" s="1" t="s">
        <v>142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71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71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170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10</v>
      </c>
      <c r="L145" s="15"/>
      <c r="O145" t="s">
        <v>171</v>
      </c>
    </row>
    <row r="146" spans="1:15" ht="30" customHeight="1" outlineLevel="1">
      <c r="A146" s="165" t="s">
        <v>173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396500</v>
      </c>
      <c r="O146" t="s">
        <v>172</v>
      </c>
    </row>
    <row r="149" spans="1:15" ht="52.5" customHeight="1">
      <c r="A149" s="190" t="s">
        <v>184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2" t="s">
        <v>202</v>
      </c>
      <c r="B154" s="192"/>
      <c r="C154" s="192"/>
      <c r="D154" s="192"/>
      <c r="E154" s="27">
        <f>ПТО!G1</f>
        <v>-339474.85</v>
      </c>
    </row>
    <row r="155" spans="1:15" ht="34.5" customHeight="1">
      <c r="A155" s="191" t="s">
        <v>201</v>
      </c>
      <c r="B155" s="191"/>
      <c r="C155" s="191"/>
      <c r="D155" s="191"/>
      <c r="E155" s="28">
        <f>J13</f>
        <v>319818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7" t="str">
        <f t="shared" ref="A158:A163" si="14">IF(N158&gt;0,N158,0)</f>
        <v>Техническое обслуживание системы видеонаблюдения.</v>
      </c>
      <c r="B158" s="167"/>
      <c r="C158" s="167"/>
      <c r="D158" s="167"/>
      <c r="E158" s="167"/>
      <c r="F158" s="172">
        <f t="shared" ref="F158:F163" si="15">IF(ISERROR(VLOOKUP(A158,$A$28:$J$72,6,FALSE)),0,VLOOKUP(A158,$A$28:$J$72,6,FALSE))</f>
        <v>33600</v>
      </c>
      <c r="G158" s="172"/>
      <c r="H158" s="24" t="str">
        <f t="shared" ref="H158:H187" si="16">VLOOKUP(A158,$A$28:$J$72,8,FALSE)</f>
        <v>ежемесячно</v>
      </c>
      <c r="I158" s="168">
        <f t="shared" ref="I158:I161" si="17">VLOOKUP(A158,$A$28:$J$72,9,FALSE)</f>
        <v>12</v>
      </c>
      <c r="J158" s="168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7" t="str">
        <f t="shared" si="14"/>
        <v>Техническое освидетельствование лифтов.</v>
      </c>
      <c r="B159" s="167"/>
      <c r="C159" s="167"/>
      <c r="D159" s="167"/>
      <c r="E159" s="167"/>
      <c r="F159" s="172">
        <f t="shared" si="15"/>
        <v>16200</v>
      </c>
      <c r="G159" s="172"/>
      <c r="H159" s="24" t="str">
        <f t="shared" si="16"/>
        <v>ежегодно</v>
      </c>
      <c r="I159" s="168">
        <f t="shared" si="17"/>
        <v>2</v>
      </c>
      <c r="J159" s="168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7" t="str">
        <f t="shared" si="14"/>
        <v>Техническое обслуживание охранной сигнализации.</v>
      </c>
      <c r="B160" s="167"/>
      <c r="C160" s="167"/>
      <c r="D160" s="167"/>
      <c r="E160" s="167"/>
      <c r="F160" s="172">
        <f t="shared" si="15"/>
        <v>14400</v>
      </c>
      <c r="G160" s="172"/>
      <c r="H160" s="24" t="str">
        <f t="shared" si="16"/>
        <v>ежемесячно</v>
      </c>
      <c r="I160" s="168">
        <f t="shared" si="17"/>
        <v>12</v>
      </c>
      <c r="J160" s="168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67" t="str">
        <f>IF(N161&gt;0,N161,0)</f>
        <v>Механизированная уборка и вывоз снега с придомовой территории.</v>
      </c>
      <c r="B161" s="167"/>
      <c r="C161" s="167"/>
      <c r="D161" s="167"/>
      <c r="E161" s="167"/>
      <c r="F161" s="172">
        <f t="shared" si="15"/>
        <v>46560</v>
      </c>
      <c r="G161" s="172"/>
      <c r="H161" s="24" t="str">
        <f t="shared" si="16"/>
        <v>разово</v>
      </c>
      <c r="I161" s="168">
        <f t="shared" si="17"/>
        <v>1</v>
      </c>
      <c r="J161" s="168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67" t="str">
        <f t="shared" si="14"/>
        <v>Замена коммутатора системы видеонаблюдения.</v>
      </c>
      <c r="B162" s="167"/>
      <c r="C162" s="167"/>
      <c r="D162" s="167"/>
      <c r="E162" s="167"/>
      <c r="F162" s="172">
        <f t="shared" si="15"/>
        <v>1650</v>
      </c>
      <c r="G162" s="172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72</v>
      </c>
      <c r="N162" s="1" t="str">
        <v>Замена коммутатора системы видеонаблюдения.</v>
      </c>
    </row>
    <row r="163" spans="1:14" ht="28.5" customHeight="1">
      <c r="A163" s="167" t="str">
        <f t="shared" si="14"/>
        <v>Замена светодиодных светильников в кабине пассажирского лифта (2 шт., 2 подъезд).</v>
      </c>
      <c r="B163" s="167"/>
      <c r="C163" s="167"/>
      <c r="D163" s="167"/>
      <c r="E163" s="167"/>
      <c r="F163" s="172">
        <f t="shared" si="15"/>
        <v>1960</v>
      </c>
      <c r="G163" s="172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72</v>
      </c>
      <c r="N163" s="1" t="str">
        <v>Замена светодиодных светильников в кабине пассажирского лифта (2 шт., 2 подъезд).</v>
      </c>
    </row>
    <row r="164" spans="1:14" ht="28.5" customHeight="1">
      <c r="A164" s="167" t="str">
        <f t="shared" ref="A164:A187" si="18">IF(N164&gt;0,N164,0)</f>
        <v>Дополнительная уборка придомовой территории.</v>
      </c>
      <c r="B164" s="167"/>
      <c r="C164" s="167"/>
      <c r="D164" s="167"/>
      <c r="E164" s="167"/>
      <c r="F164" s="172">
        <f t="shared" ref="F164:F187" si="19">IF(ISERROR(VLOOKUP(A164,$A$28:$J$72,6,FALSE)),0,VLOOKUP(A164,$A$28:$J$72,6,FALSE))</f>
        <v>2000</v>
      </c>
      <c r="G164" s="172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72</v>
      </c>
      <c r="N164" s="1" t="str">
        <v>Дополнительная уборка придомовой территории.</v>
      </c>
    </row>
    <row r="165" spans="1:14" ht="28.5" customHeight="1">
      <c r="A165" s="167" t="str">
        <f t="shared" si="18"/>
        <v>Приобретение и замена  манометров (10 шт.) и термометров (15 шт.).</v>
      </c>
      <c r="B165" s="167"/>
      <c r="C165" s="167"/>
      <c r="D165" s="167"/>
      <c r="E165" s="167"/>
      <c r="F165" s="172">
        <f t="shared" si="19"/>
        <v>4991.78</v>
      </c>
      <c r="G165" s="172"/>
      <c r="H165" s="29" t="str">
        <f t="shared" si="16"/>
        <v>разово</v>
      </c>
      <c r="I165" s="168">
        <f t="shared" si="20"/>
        <v>1</v>
      </c>
      <c r="J165" s="168"/>
      <c r="M165" s="22" t="s">
        <v>72</v>
      </c>
      <c r="N165" s="1" t="str">
        <v>Приобретение и замена  манометров (10 шт.) и термометров (15 шт.).</v>
      </c>
    </row>
    <row r="166" spans="1:14" ht="28.5" customHeight="1">
      <c r="A166" s="167" t="str">
        <f t="shared" si="18"/>
        <v>Приобретение и установка источника стабилизированного питания системы видеонаблюдения.</v>
      </c>
      <c r="B166" s="167"/>
      <c r="C166" s="167"/>
      <c r="D166" s="167"/>
      <c r="E166" s="167"/>
      <c r="F166" s="172">
        <f t="shared" si="19"/>
        <v>790</v>
      </c>
      <c r="G166" s="172"/>
      <c r="H166" s="29" t="str">
        <f t="shared" si="16"/>
        <v>разово</v>
      </c>
      <c r="I166" s="168">
        <f t="shared" si="20"/>
        <v>1</v>
      </c>
      <c r="J166" s="168"/>
      <c r="M166" s="22" t="s">
        <v>72</v>
      </c>
      <c r="N166" s="1" t="str">
        <v>Приобретение и установка источника стабилизированного питания системы видеонаблюдения.</v>
      </c>
    </row>
    <row r="167" spans="1:14" ht="28.5" customHeight="1">
      <c r="A167" s="167" t="str">
        <f t="shared" si="18"/>
        <v>Приобретение и монтаж прожекторов над подъездами.</v>
      </c>
      <c r="B167" s="167"/>
      <c r="C167" s="167"/>
      <c r="D167" s="167"/>
      <c r="E167" s="167"/>
      <c r="F167" s="172">
        <f t="shared" si="19"/>
        <v>29790</v>
      </c>
      <c r="G167" s="172"/>
      <c r="H167" s="29" t="str">
        <f t="shared" si="16"/>
        <v>разово</v>
      </c>
      <c r="I167" s="168">
        <f t="shared" si="20"/>
        <v>1</v>
      </c>
      <c r="J167" s="168"/>
      <c r="M167" s="22" t="s">
        <v>72</v>
      </c>
      <c r="N167" s="1" t="str">
        <v>Приобретение и монтаж прожекторов над подъездами.</v>
      </c>
    </row>
    <row r="168" spans="1:14" ht="28.5" customHeight="1">
      <c r="A168" s="167" t="str">
        <f t="shared" si="18"/>
        <v>Перенос камер системы видеонаблюдения.</v>
      </c>
      <c r="B168" s="167"/>
      <c r="C168" s="167"/>
      <c r="D168" s="167"/>
      <c r="E168" s="167"/>
      <c r="F168" s="172">
        <f t="shared" si="19"/>
        <v>7000</v>
      </c>
      <c r="G168" s="172"/>
      <c r="H168" s="29" t="str">
        <f t="shared" si="16"/>
        <v>разово</v>
      </c>
      <c r="I168" s="168">
        <f t="shared" si="20"/>
        <v>1</v>
      </c>
      <c r="J168" s="168"/>
      <c r="M168" s="22" t="s">
        <v>72</v>
      </c>
      <c r="N168" s="1" t="str">
        <v>Перенос камер системы видеонаблюдения.</v>
      </c>
    </row>
    <row r="169" spans="1:14" ht="28.5" hidden="1" customHeight="1">
      <c r="A169" s="167">
        <f t="shared" si="18"/>
        <v>0</v>
      </c>
      <c r="B169" s="167"/>
      <c r="C169" s="167"/>
      <c r="D169" s="167"/>
      <c r="E169" s="167"/>
      <c r="F169" s="172">
        <f t="shared" si="19"/>
        <v>0</v>
      </c>
      <c r="G169" s="172"/>
      <c r="H169" s="29" t="e">
        <f t="shared" si="16"/>
        <v>#N/A</v>
      </c>
      <c r="I169" s="168" t="e">
        <f t="shared" si="20"/>
        <v>#N/A</v>
      </c>
      <c r="J169" s="168"/>
      <c r="M169" s="22" t="s">
        <v>72</v>
      </c>
      <c r="N169" s="1">
        <v>0</v>
      </c>
    </row>
    <row r="170" spans="1:14" ht="28.5" hidden="1" customHeight="1">
      <c r="A170" s="167">
        <f t="shared" si="18"/>
        <v>0</v>
      </c>
      <c r="B170" s="167"/>
      <c r="C170" s="167"/>
      <c r="D170" s="167"/>
      <c r="E170" s="167"/>
      <c r="F170" s="172">
        <f t="shared" si="19"/>
        <v>0</v>
      </c>
      <c r="G170" s="172"/>
      <c r="H170" s="29" t="e">
        <f t="shared" si="16"/>
        <v>#N/A</v>
      </c>
      <c r="I170" s="168" t="e">
        <f t="shared" si="20"/>
        <v>#N/A</v>
      </c>
      <c r="J170" s="168"/>
      <c r="M170" s="22" t="s">
        <v>72</v>
      </c>
      <c r="N170" s="1">
        <v>0</v>
      </c>
    </row>
    <row r="171" spans="1:14" ht="28.5" hidden="1" customHeight="1">
      <c r="A171" s="167">
        <f t="shared" si="18"/>
        <v>0</v>
      </c>
      <c r="B171" s="167"/>
      <c r="C171" s="167"/>
      <c r="D171" s="167"/>
      <c r="E171" s="167"/>
      <c r="F171" s="172">
        <f t="shared" si="19"/>
        <v>0</v>
      </c>
      <c r="G171" s="172"/>
      <c r="H171" s="29" t="e">
        <f t="shared" si="16"/>
        <v>#N/A</v>
      </c>
      <c r="I171" s="168" t="e">
        <f t="shared" si="20"/>
        <v>#N/A</v>
      </c>
      <c r="J171" s="168"/>
      <c r="M171" s="22" t="s">
        <v>72</v>
      </c>
      <c r="N171" s="1">
        <v>0</v>
      </c>
    </row>
    <row r="172" spans="1:14" ht="28.5" hidden="1" customHeight="1">
      <c r="A172" s="167">
        <f t="shared" si="18"/>
        <v>0</v>
      </c>
      <c r="B172" s="167"/>
      <c r="C172" s="167"/>
      <c r="D172" s="167"/>
      <c r="E172" s="167"/>
      <c r="F172" s="172">
        <f t="shared" si="19"/>
        <v>0</v>
      </c>
      <c r="G172" s="172"/>
      <c r="H172" s="29" t="e">
        <f t="shared" si="16"/>
        <v>#N/A</v>
      </c>
      <c r="I172" s="168" t="e">
        <f t="shared" si="20"/>
        <v>#N/A</v>
      </c>
      <c r="J172" s="168"/>
      <c r="M172" s="22" t="s">
        <v>72</v>
      </c>
      <c r="N172" s="1">
        <v>0</v>
      </c>
    </row>
    <row r="173" spans="1:14" ht="28.5" hidden="1" customHeight="1">
      <c r="A173" s="167">
        <f t="shared" si="18"/>
        <v>0</v>
      </c>
      <c r="B173" s="167"/>
      <c r="C173" s="167"/>
      <c r="D173" s="167"/>
      <c r="E173" s="167"/>
      <c r="F173" s="172">
        <f t="shared" si="19"/>
        <v>0</v>
      </c>
      <c r="G173" s="172"/>
      <c r="H173" s="29" t="e">
        <f t="shared" si="16"/>
        <v>#N/A</v>
      </c>
      <c r="I173" s="168" t="e">
        <f t="shared" si="20"/>
        <v>#N/A</v>
      </c>
      <c r="J173" s="168"/>
      <c r="M173" s="22" t="s">
        <v>72</v>
      </c>
      <c r="N173" s="1">
        <v>0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72">
        <f t="shared" si="19"/>
        <v>0</v>
      </c>
      <c r="G174" s="172"/>
      <c r="H174" s="29" t="e">
        <f t="shared" si="16"/>
        <v>#N/A</v>
      </c>
      <c r="I174" s="168" t="e">
        <f t="shared" si="20"/>
        <v>#N/A</v>
      </c>
      <c r="J174" s="168"/>
      <c r="M174" s="22" t="s">
        <v>72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72">
        <f t="shared" si="19"/>
        <v>0</v>
      </c>
      <c r="G175" s="172"/>
      <c r="H175" s="29" t="e">
        <f t="shared" si="16"/>
        <v>#N/A</v>
      </c>
      <c r="I175" s="168" t="e">
        <f t="shared" si="20"/>
        <v>#N/A</v>
      </c>
      <c r="J175" s="168"/>
      <c r="M175" s="22" t="s">
        <v>72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72">
        <f t="shared" si="19"/>
        <v>0</v>
      </c>
      <c r="G176" s="172"/>
      <c r="H176" s="29" t="e">
        <f t="shared" si="16"/>
        <v>#N/A</v>
      </c>
      <c r="I176" s="168" t="e">
        <f t="shared" si="20"/>
        <v>#N/A</v>
      </c>
      <c r="J176" s="168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72">
        <f t="shared" si="19"/>
        <v>0</v>
      </c>
      <c r="G177" s="172"/>
      <c r="H177" s="29" t="e">
        <f t="shared" si="16"/>
        <v>#N/A</v>
      </c>
      <c r="I177" s="168" t="e">
        <f t="shared" si="20"/>
        <v>#N/A</v>
      </c>
      <c r="J177" s="168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72">
        <f t="shared" si="19"/>
        <v>0</v>
      </c>
      <c r="G178" s="172"/>
      <c r="H178" s="29" t="e">
        <f t="shared" si="16"/>
        <v>#N/A</v>
      </c>
      <c r="I178" s="168" t="e">
        <f t="shared" si="20"/>
        <v>#N/A</v>
      </c>
      <c r="J178" s="168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72">
        <f t="shared" si="19"/>
        <v>0</v>
      </c>
      <c r="G179" s="172"/>
      <c r="H179" s="29" t="e">
        <f t="shared" si="16"/>
        <v>#N/A</v>
      </c>
      <c r="I179" s="168" t="e">
        <f t="shared" si="20"/>
        <v>#N/A</v>
      </c>
      <c r="J179" s="168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72">
        <f t="shared" si="19"/>
        <v>0</v>
      </c>
      <c r="G180" s="172"/>
      <c r="H180" s="29" t="e">
        <f t="shared" si="16"/>
        <v>#N/A</v>
      </c>
      <c r="I180" s="168" t="e">
        <f t="shared" si="20"/>
        <v>#N/A</v>
      </c>
      <c r="J180" s="168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72">
        <f t="shared" si="19"/>
        <v>0</v>
      </c>
      <c r="G181" s="172"/>
      <c r="H181" s="29" t="e">
        <f t="shared" si="16"/>
        <v>#N/A</v>
      </c>
      <c r="I181" s="168" t="e">
        <f t="shared" si="20"/>
        <v>#N/A</v>
      </c>
      <c r="J181" s="168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72">
        <f t="shared" si="19"/>
        <v>0</v>
      </c>
      <c r="G182" s="172"/>
      <c r="H182" s="29" t="e">
        <f t="shared" si="16"/>
        <v>#N/A</v>
      </c>
      <c r="I182" s="168" t="e">
        <f t="shared" si="20"/>
        <v>#N/A</v>
      </c>
      <c r="J182" s="168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72">
        <f t="shared" si="19"/>
        <v>0</v>
      </c>
      <c r="G183" s="172"/>
      <c r="H183" s="29" t="e">
        <f t="shared" si="16"/>
        <v>#N/A</v>
      </c>
      <c r="I183" s="168" t="e">
        <f t="shared" si="20"/>
        <v>#N/A</v>
      </c>
      <c r="J183" s="168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72">
        <f t="shared" si="19"/>
        <v>0</v>
      </c>
      <c r="G184" s="172"/>
      <c r="H184" s="29" t="e">
        <f t="shared" si="16"/>
        <v>#N/A</v>
      </c>
      <c r="I184" s="168" t="e">
        <f t="shared" si="20"/>
        <v>#N/A</v>
      </c>
      <c r="J184" s="168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72">
        <f t="shared" si="19"/>
        <v>0</v>
      </c>
      <c r="G185" s="172"/>
      <c r="H185" s="29" t="e">
        <f t="shared" si="16"/>
        <v>#N/A</v>
      </c>
      <c r="I185" s="168" t="e">
        <f t="shared" si="20"/>
        <v>#N/A</v>
      </c>
      <c r="J185" s="168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72">
        <f t="shared" si="19"/>
        <v>0</v>
      </c>
      <c r="G186" s="172"/>
      <c r="H186" s="29" t="e">
        <f t="shared" si="16"/>
        <v>#N/A</v>
      </c>
      <c r="I186" s="168" t="e">
        <f t="shared" si="20"/>
        <v>#N/A</v>
      </c>
      <c r="J186" s="168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72">
        <f t="shared" si="19"/>
        <v>0</v>
      </c>
      <c r="G187" s="172"/>
      <c r="H187" s="29" t="e">
        <f t="shared" si="16"/>
        <v>#N/A</v>
      </c>
      <c r="I187" s="168" t="e">
        <f t="shared" si="20"/>
        <v>#N/A</v>
      </c>
      <c r="J187" s="168"/>
      <c r="M187" s="22" t="s">
        <v>72</v>
      </c>
      <c r="N187" s="1">
        <v>0</v>
      </c>
    </row>
    <row r="188" spans="1:14" ht="12.75" customHeight="1">
      <c r="A188" s="103" t="s">
        <v>174</v>
      </c>
    </row>
    <row r="189" spans="1:14" ht="12.75" customHeight="1">
      <c r="A189" s="103" t="s">
        <v>174</v>
      </c>
    </row>
    <row r="190" spans="1:14" ht="36.75" customHeight="1">
      <c r="A190" s="192" t="s">
        <v>200</v>
      </c>
      <c r="B190" s="192"/>
      <c r="C190" s="192"/>
      <c r="D190" s="192"/>
      <c r="E190" s="27">
        <f>SUM(F158:G187)</f>
        <v>158941.78</v>
      </c>
    </row>
    <row r="191" spans="1:14" ht="51.75" customHeight="1">
      <c r="A191" s="192" t="s">
        <v>199</v>
      </c>
      <c r="B191" s="192"/>
      <c r="C191" s="192"/>
      <c r="D191" s="192"/>
      <c r="E191" s="27">
        <f>E190+E154-E155</f>
        <v>-500351.06999999995</v>
      </c>
    </row>
    <row r="192" spans="1:14">
      <c r="A192" s="103" t="s">
        <v>174</v>
      </c>
    </row>
    <row r="193" spans="1:10" ht="62.25" customHeight="1">
      <c r="A193" s="166" t="s">
        <v>198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8">
        <f>ПТО!G12</f>
        <v>1200</v>
      </c>
      <c r="I194" s="49" t="s">
        <v>74</v>
      </c>
    </row>
    <row r="195" spans="1:10" ht="18.75" customHeight="1">
      <c r="A195" s="164" t="str">
        <f>ПТО!F13</f>
        <v xml:space="preserve">  -  техническое освидетельствование лифтов</v>
      </c>
      <c r="B195" s="164"/>
      <c r="C195" s="164"/>
      <c r="D195" s="164"/>
      <c r="E195" s="164"/>
      <c r="F195" s="164"/>
      <c r="G195" s="164"/>
      <c r="H195" s="48">
        <f>ПТО!G13</f>
        <v>16200</v>
      </c>
      <c r="I195" s="49" t="s">
        <v>74</v>
      </c>
    </row>
    <row r="196" spans="1:10" ht="18.75" customHeight="1">
      <c r="A196" s="164" t="str">
        <f>ПТО!F14</f>
        <v xml:space="preserve">  -  техническое обслуживание системы видеонаблюдения</v>
      </c>
      <c r="B196" s="164"/>
      <c r="C196" s="164"/>
      <c r="D196" s="164"/>
      <c r="E196" s="164"/>
      <c r="F196" s="164"/>
      <c r="G196" s="164"/>
      <c r="H196" s="48">
        <f>ПТО!G14</f>
        <v>33600</v>
      </c>
      <c r="I196" s="49" t="s">
        <v>74</v>
      </c>
    </row>
    <row r="197" spans="1:10" ht="18.75" customHeight="1">
      <c r="A197" s="164" t="str">
        <f>ПТО!F15</f>
        <v xml:space="preserve">  -  техническое обслуживание охранной сигнализации</v>
      </c>
      <c r="B197" s="164"/>
      <c r="C197" s="164"/>
      <c r="D197" s="164"/>
      <c r="E197" s="164"/>
      <c r="F197" s="164"/>
      <c r="G197" s="164"/>
      <c r="H197" s="48">
        <f>ПТО!G15</f>
        <v>14400</v>
      </c>
      <c r="I197" s="49" t="s">
        <v>74</v>
      </c>
    </row>
    <row r="198" spans="1:10" ht="38.25" customHeight="1">
      <c r="A198" s="164" t="str">
        <f>ПТО!F16</f>
        <v xml:space="preserve">  -  механизированная уборка и вывоз снега с придомовой территории</v>
      </c>
      <c r="B198" s="164"/>
      <c r="C198" s="164"/>
      <c r="D198" s="164"/>
      <c r="E198" s="164"/>
      <c r="F198" s="164"/>
      <c r="G198" s="164"/>
      <c r="H198" s="48">
        <f>ПТО!G16</f>
        <v>20000</v>
      </c>
      <c r="I198" s="51" t="s">
        <v>74</v>
      </c>
    </row>
    <row r="199" spans="1:10" ht="18.75" customHeight="1">
      <c r="A199" s="164" t="str">
        <f>ПТО!F17</f>
        <v xml:space="preserve">  -  замена светильников в подъездах </v>
      </c>
      <c r="B199" s="164"/>
      <c r="C199" s="164"/>
      <c r="D199" s="164"/>
      <c r="E199" s="164"/>
      <c r="F199" s="164"/>
      <c r="G199" s="164"/>
      <c r="H199" s="48">
        <f>ПТО!G17</f>
        <v>250000</v>
      </c>
      <c r="I199" s="49" t="s">
        <v>74</v>
      </c>
    </row>
    <row r="200" spans="1:10">
      <c r="A200" s="164" t="str">
        <f>ПТО!F18</f>
        <v xml:space="preserve">  -  установка дополнительных камер системы видеонаблюдения</v>
      </c>
      <c r="B200" s="164"/>
      <c r="C200" s="164"/>
      <c r="D200" s="164"/>
      <c r="E200" s="164"/>
      <c r="F200" s="164"/>
      <c r="G200" s="164"/>
      <c r="H200" s="48">
        <f>ПТО!G18</f>
        <v>90000</v>
      </c>
      <c r="I200" s="49" t="s">
        <v>74</v>
      </c>
    </row>
    <row r="201" spans="1:10">
      <c r="A201" s="164" t="str">
        <f>ПТО!F19</f>
        <v xml:space="preserve">  -  приобретение и установка решетчатой двери на спуске в подвал</v>
      </c>
      <c r="B201" s="164"/>
      <c r="C201" s="164"/>
      <c r="D201" s="164"/>
      <c r="E201" s="164"/>
      <c r="F201" s="164"/>
      <c r="G201" s="164"/>
      <c r="H201" s="48">
        <f>ПТО!G19</f>
        <v>12000</v>
      </c>
      <c r="I201" s="49" t="s">
        <v>74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8">
        <f>ПТО!G20</f>
        <v>0</v>
      </c>
      <c r="I202" s="49" t="s">
        <v>74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8">
        <f>ПТО!G21</f>
        <v>0</v>
      </c>
      <c r="I203" s="49" t="s">
        <v>74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8">
        <f>ПТО!G22</f>
        <v>0</v>
      </c>
      <c r="I204" s="49" t="s">
        <v>74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8">
        <f>ПТО!G23</f>
        <v>0</v>
      </c>
      <c r="I205" s="49" t="s">
        <v>74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8">
        <f>ПТО!G24</f>
        <v>0</v>
      </c>
      <c r="I206" s="49" t="s">
        <v>74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8">
        <f>ПТО!G25</f>
        <v>0</v>
      </c>
      <c r="I207" s="49" t="s">
        <v>74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8">
        <f>ПТО!G26</f>
        <v>0</v>
      </c>
      <c r="I208" s="49" t="s">
        <v>74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8">
        <f>ПТО!G27</f>
        <v>0</v>
      </c>
      <c r="I209" s="49" t="s">
        <v>74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8">
        <f>ПТО!G28</f>
        <v>0</v>
      </c>
      <c r="I210" s="49" t="s">
        <v>74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8">
        <f>ПТО!G29</f>
        <v>0</v>
      </c>
      <c r="I211" s="49" t="s">
        <v>74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8">
        <f>ПТО!G30</f>
        <v>0</v>
      </c>
      <c r="I212" s="49" t="s">
        <v>74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437400</v>
      </c>
      <c r="I214" s="55" t="s">
        <v>77</v>
      </c>
    </row>
  </sheetData>
  <sheetProtection algorithmName="SHA-512" hashValue="9LdliwApQ4WvbDfHpkJLvfuAwX1KDOos6eSizUuZJYlV2jAggaXP7pasYXXqr1DBtgT5DGLbIYTDB4TN83A3Tg==" saltValue="bZOtdbQ196nxOD7PU2b4G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4" sqref="B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202</v>
      </c>
      <c r="G1" s="100">
        <f>-339474.85</f>
        <v>-339474.85</v>
      </c>
    </row>
    <row r="2" spans="1:12" ht="18.75" customHeight="1">
      <c r="A2" s="142" t="s">
        <v>178</v>
      </c>
      <c r="B2" s="143" t="s">
        <v>180</v>
      </c>
      <c r="C2" s="144">
        <v>12</v>
      </c>
      <c r="D2" s="145">
        <f>2800*12</f>
        <v>33600</v>
      </c>
      <c r="E2" s="146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2" t="s">
        <v>179</v>
      </c>
      <c r="B3" s="147" t="s">
        <v>181</v>
      </c>
      <c r="C3" s="147">
        <v>2</v>
      </c>
      <c r="D3" s="145">
        <v>16200</v>
      </c>
      <c r="E3" s="146" t="s">
        <v>213</v>
      </c>
      <c r="F3" s="30"/>
      <c r="G3" s="30"/>
      <c r="L3" s="33" t="str">
        <f t="shared" si="0"/>
        <v>ТР</v>
      </c>
    </row>
    <row r="4" spans="1:12" ht="18.75" customHeight="1">
      <c r="A4" s="148" t="s">
        <v>185</v>
      </c>
      <c r="B4" s="143" t="s">
        <v>180</v>
      </c>
      <c r="C4" s="147">
        <v>12</v>
      </c>
      <c r="D4" s="145">
        <f>1200*12</f>
        <v>14400</v>
      </c>
      <c r="E4" s="146" t="s">
        <v>212</v>
      </c>
      <c r="F4" s="30"/>
      <c r="G4" s="30"/>
      <c r="L4" s="33" t="str">
        <f t="shared" si="0"/>
        <v>ТР</v>
      </c>
    </row>
    <row r="5" spans="1:12" ht="18.75" customHeight="1">
      <c r="A5" s="133" t="s">
        <v>195</v>
      </c>
      <c r="B5" s="134" t="s">
        <v>194</v>
      </c>
      <c r="C5" s="120">
        <v>1</v>
      </c>
      <c r="D5" s="46">
        <v>46560</v>
      </c>
      <c r="E5" s="130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36" t="s">
        <v>204</v>
      </c>
      <c r="B6" s="135" t="s">
        <v>194</v>
      </c>
      <c r="C6" s="120">
        <v>1</v>
      </c>
      <c r="D6" s="46">
        <v>1650</v>
      </c>
      <c r="E6" s="130" t="s">
        <v>205</v>
      </c>
      <c r="F6" s="44"/>
      <c r="G6" s="44"/>
      <c r="K6" s="46"/>
      <c r="L6" s="33" t="str">
        <f t="shared" si="0"/>
        <v>ТР</v>
      </c>
    </row>
    <row r="7" spans="1:12" ht="18.75" customHeight="1">
      <c r="A7" s="137" t="s">
        <v>206</v>
      </c>
      <c r="B7" s="138" t="s">
        <v>194</v>
      </c>
      <c r="C7" s="139">
        <v>1</v>
      </c>
      <c r="D7" s="140">
        <v>1960</v>
      </c>
      <c r="E7" s="137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58" t="s">
        <v>220</v>
      </c>
      <c r="B8" s="141" t="s">
        <v>194</v>
      </c>
      <c r="C8" s="120">
        <v>1</v>
      </c>
      <c r="D8" s="46">
        <v>2000</v>
      </c>
      <c r="E8" s="130" t="s">
        <v>208</v>
      </c>
      <c r="F8" s="45"/>
      <c r="G8" s="45"/>
      <c r="K8" s="43"/>
      <c r="L8" s="33" t="str">
        <f t="shared" si="0"/>
        <v>ТР</v>
      </c>
    </row>
    <row r="9" spans="1:12">
      <c r="A9" s="159" t="s">
        <v>221</v>
      </c>
      <c r="B9" s="149" t="s">
        <v>194</v>
      </c>
      <c r="C9" s="120">
        <v>1</v>
      </c>
      <c r="D9" s="46">
        <v>4991.78</v>
      </c>
      <c r="E9" s="130" t="s">
        <v>214</v>
      </c>
      <c r="F9" s="44"/>
      <c r="G9" s="44"/>
      <c r="K9" s="43"/>
      <c r="L9" s="33" t="str">
        <f t="shared" si="0"/>
        <v>ТР</v>
      </c>
    </row>
    <row r="10" spans="1:12">
      <c r="A10" s="44" t="s">
        <v>210</v>
      </c>
      <c r="B10" s="150" t="s">
        <v>194</v>
      </c>
      <c r="C10" s="120">
        <v>1</v>
      </c>
      <c r="D10" s="43">
        <v>790</v>
      </c>
      <c r="E10" s="119" t="s">
        <v>215</v>
      </c>
      <c r="L10" s="33" t="str">
        <f t="shared" si="0"/>
        <v>ТР</v>
      </c>
    </row>
    <row r="11" spans="1:12" ht="94.5">
      <c r="A11" s="151" t="s">
        <v>209</v>
      </c>
      <c r="B11" s="152" t="s">
        <v>194</v>
      </c>
      <c r="C11" s="117">
        <v>1</v>
      </c>
      <c r="D11" s="118">
        <v>29790</v>
      </c>
      <c r="E11" s="124" t="s">
        <v>216</v>
      </c>
      <c r="F11" s="110" t="s">
        <v>198</v>
      </c>
      <c r="G11" s="110"/>
      <c r="L11" s="33" t="str">
        <f t="shared" si="0"/>
        <v>ТР</v>
      </c>
    </row>
    <row r="12" spans="1:12" ht="31.5">
      <c r="A12" s="153" t="s">
        <v>217</v>
      </c>
      <c r="B12" s="154" t="s">
        <v>194</v>
      </c>
      <c r="C12" s="155">
        <v>1</v>
      </c>
      <c r="D12" s="156">
        <v>7000</v>
      </c>
      <c r="E12" s="157" t="s">
        <v>218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2"/>
      <c r="B13" s="163"/>
      <c r="C13" s="117"/>
      <c r="D13" s="118"/>
      <c r="E13" s="124"/>
      <c r="F13" s="111" t="s">
        <v>183</v>
      </c>
      <c r="G13" s="112">
        <v>16200</v>
      </c>
      <c r="L13" s="33">
        <f t="shared" si="0"/>
        <v>0</v>
      </c>
    </row>
    <row r="14" spans="1:12" ht="31.5">
      <c r="A14" s="122"/>
      <c r="B14" s="123"/>
      <c r="C14" s="117"/>
      <c r="D14" s="118"/>
      <c r="E14" s="124"/>
      <c r="F14" s="111" t="s">
        <v>75</v>
      </c>
      <c r="G14" s="113">
        <v>33600</v>
      </c>
      <c r="L14" s="33">
        <f t="shared" si="0"/>
        <v>0</v>
      </c>
    </row>
    <row r="15" spans="1:12" ht="31.5">
      <c r="A15" s="44"/>
      <c r="B15" s="121"/>
      <c r="C15" s="120"/>
      <c r="D15" s="43"/>
      <c r="E15" s="119"/>
      <c r="F15" s="111" t="s">
        <v>186</v>
      </c>
      <c r="G15" s="113">
        <v>14400</v>
      </c>
      <c r="L15" s="33">
        <f t="shared" si="0"/>
        <v>0</v>
      </c>
    </row>
    <row r="16" spans="1:12" ht="15.75">
      <c r="A16" s="44"/>
      <c r="B16" s="121"/>
      <c r="C16" s="120"/>
      <c r="D16" s="43"/>
      <c r="E16" s="119"/>
      <c r="F16" s="132" t="s">
        <v>196</v>
      </c>
      <c r="G16" s="113">
        <v>20000</v>
      </c>
      <c r="L16" s="33">
        <f t="shared" si="0"/>
        <v>0</v>
      </c>
    </row>
    <row r="17" spans="1:12" ht="15.75">
      <c r="A17" s="122"/>
      <c r="B17" s="123"/>
      <c r="C17" s="117"/>
      <c r="D17" s="118"/>
      <c r="E17" s="124"/>
      <c r="F17" s="132" t="s">
        <v>197</v>
      </c>
      <c r="G17" s="113">
        <v>250000</v>
      </c>
      <c r="L17" s="33">
        <f t="shared" si="0"/>
        <v>0</v>
      </c>
    </row>
    <row r="18" spans="1:12" ht="31.5">
      <c r="A18" s="30"/>
      <c r="F18" s="111" t="s">
        <v>219</v>
      </c>
      <c r="G18" s="112">
        <v>90000</v>
      </c>
      <c r="L18" s="33">
        <f t="shared" si="0"/>
        <v>0</v>
      </c>
    </row>
    <row r="19" spans="1:12" ht="31.5">
      <c r="A19" s="30"/>
      <c r="F19" s="160" t="s">
        <v>222</v>
      </c>
      <c r="G19" s="161">
        <v>12000</v>
      </c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416630.04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416630.04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107803.8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107803.8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45658.080000000002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45658.080000000002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76096.800000000003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76096.800000000003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22194.959999999999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22194.959999999999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111608.64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111608.64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253021.92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253021.92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127"/>
      <c r="E47" s="125">
        <v>1617.1</v>
      </c>
      <c r="F47" s="125">
        <v>858.1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8"/>
      <c r="C48" s="126"/>
      <c r="D48" s="127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9" t="s">
        <v>187</v>
      </c>
      <c r="F52" s="129" t="s">
        <v>188</v>
      </c>
      <c r="G52" s="129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9">
        <v>35.896999999999998</v>
      </c>
      <c r="F53" s="125">
        <v>6100.3</v>
      </c>
      <c r="G53" s="129">
        <v>3.48</v>
      </c>
      <c r="H53" s="129">
        <f>G53*E47/F53</f>
        <v>0.92249692638066971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9"/>
      <c r="F54" s="129" t="s">
        <v>190</v>
      </c>
      <c r="G54" s="129" t="s">
        <v>191</v>
      </c>
      <c r="H54" s="129">
        <f>H53*G56</f>
        <v>36.346378899398388</v>
      </c>
    </row>
    <row r="55" spans="5:16">
      <c r="E55" s="129"/>
      <c r="F55" s="129">
        <v>1.17</v>
      </c>
      <c r="G55" s="129">
        <v>1.23</v>
      </c>
      <c r="H55" s="129"/>
    </row>
    <row r="56" spans="5:16">
      <c r="E56" s="129"/>
      <c r="F56" s="129"/>
      <c r="G56" s="129">
        <v>39.4</v>
      </c>
      <c r="H56" s="129"/>
    </row>
    <row r="57" spans="5:16">
      <c r="E57" s="129"/>
      <c r="F57" s="129"/>
      <c r="G57" s="129"/>
      <c r="H57" s="129"/>
    </row>
    <row r="58" spans="5:16">
      <c r="E58" s="129" t="s">
        <v>192</v>
      </c>
      <c r="F58" s="129"/>
      <c r="G58" s="129"/>
      <c r="H58" s="129"/>
    </row>
    <row r="59" spans="5:16">
      <c r="E59" s="129">
        <v>0.59599999999999997</v>
      </c>
      <c r="F59" s="125">
        <f>F53</f>
        <v>6100.3</v>
      </c>
      <c r="G59" s="129">
        <v>7.4999999999999997E-2</v>
      </c>
      <c r="H59" s="129">
        <f>G59*F47</f>
        <v>64.357500000000002</v>
      </c>
    </row>
    <row r="60" spans="5:16">
      <c r="E60" s="129"/>
      <c r="F60" s="129" t="s">
        <v>190</v>
      </c>
      <c r="G60" s="129" t="s">
        <v>191</v>
      </c>
      <c r="H60" s="129">
        <f>H59/F59</f>
        <v>1.0549890988967756E-2</v>
      </c>
    </row>
    <row r="61" spans="5:16">
      <c r="E61" s="129"/>
      <c r="F61" s="129">
        <v>12.94</v>
      </c>
      <c r="G61" s="129">
        <v>13.45</v>
      </c>
      <c r="H61" s="129">
        <f>H60*G56</f>
        <v>0.41566570496532956</v>
      </c>
    </row>
    <row r="62" spans="5:16">
      <c r="E62" s="129" t="s">
        <v>193</v>
      </c>
      <c r="F62" s="129"/>
      <c r="G62" s="129"/>
      <c r="H62" s="129"/>
    </row>
    <row r="63" spans="5:16">
      <c r="E63" s="129">
        <v>0.59599999999999997</v>
      </c>
      <c r="F63" s="125">
        <f>F53</f>
        <v>6100.3</v>
      </c>
      <c r="G63" s="129">
        <v>7.4999999999999997E-2</v>
      </c>
      <c r="H63" s="129">
        <f>G63*F47</f>
        <v>64.357500000000002</v>
      </c>
    </row>
    <row r="64" spans="5:16">
      <c r="E64" s="129"/>
      <c r="F64" s="129" t="s">
        <v>190</v>
      </c>
      <c r="G64" s="129" t="s">
        <v>191</v>
      </c>
      <c r="H64" s="129">
        <f>H63/F63</f>
        <v>1.0549890988967756E-2</v>
      </c>
    </row>
    <row r="65" spans="4:13" ht="18.75" customHeight="1">
      <c r="E65" s="129"/>
      <c r="F65" s="129">
        <v>15.73</v>
      </c>
      <c r="G65" s="129">
        <v>16.350000000000001</v>
      </c>
      <c r="H65" s="129">
        <f>H64*G56</f>
        <v>0.41566570496532956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koYW6fMIzK3xKV8Gy2i8LLt8fwvZvMcrZpw/v6GhjUPVGlDOVwilYu7A1eOizPdMwqeI+6PpBfjlihvkL2BgTA==" saltValue="uIgmxa5+7eSdZKNe/VORC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5330.3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387220.15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1300794.72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980976.72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319818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1304472.19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1304472.19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1304472.19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383542.68000000017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5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5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5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5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4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4"/>
      <c r="N26" s="62"/>
    </row>
    <row r="27" spans="1:15" ht="18.75" customHeight="1">
      <c r="A27" s="69" t="s">
        <v>105</v>
      </c>
      <c r="B27" s="74" t="s">
        <v>4</v>
      </c>
      <c r="C27" s="85">
        <v>327903.52</v>
      </c>
      <c r="D27" s="80" t="s">
        <v>60</v>
      </c>
      <c r="E27" s="63"/>
      <c r="F27" s="63"/>
      <c r="G27" s="63"/>
      <c r="H27" s="63"/>
      <c r="I27" s="63"/>
      <c r="J27" s="63"/>
      <c r="M27" s="194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4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4"/>
      <c r="N29" s="62"/>
    </row>
    <row r="30" spans="1:15" ht="18.75" customHeight="1">
      <c r="A30" s="69" t="s">
        <v>108</v>
      </c>
      <c r="B30" s="74" t="s">
        <v>18</v>
      </c>
      <c r="C30" s="85">
        <v>299602.18</v>
      </c>
      <c r="D30" s="80" t="s">
        <v>66</v>
      </c>
      <c r="E30" s="63"/>
      <c r="F30" s="63"/>
      <c r="G30" s="63"/>
      <c r="H30" s="63"/>
      <c r="I30" s="63"/>
      <c r="J30" s="63"/>
      <c r="M30" s="194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4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4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4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4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1047744.05</v>
      </c>
      <c r="F37" s="93" t="s">
        <v>167</v>
      </c>
      <c r="G37" s="65"/>
      <c r="H37" s="65"/>
      <c r="I37" s="65"/>
      <c r="L37" s="62"/>
      <c r="M37" s="193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770400.04</v>
      </c>
      <c r="D38" s="93" t="s">
        <v>165</v>
      </c>
      <c r="E38" s="67"/>
      <c r="G38" s="66"/>
      <c r="H38" s="66"/>
      <c r="L38" s="62"/>
      <c r="M38" s="193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1076560.82</v>
      </c>
      <c r="D39" s="93" t="s">
        <v>166</v>
      </c>
      <c r="E39" s="67"/>
      <c r="G39" s="66"/>
      <c r="H39" s="66"/>
      <c r="L39" s="62"/>
      <c r="M39" s="193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93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1047744.05</v>
      </c>
      <c r="D41" s="79" t="s">
        <v>59</v>
      </c>
      <c r="E41" s="67"/>
      <c r="G41" s="66"/>
      <c r="H41" s="66"/>
      <c r="L41" s="62"/>
      <c r="M41" s="193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1047744.05</v>
      </c>
      <c r="D42" s="79" t="s">
        <v>59</v>
      </c>
      <c r="E42" s="67"/>
      <c r="G42" s="66"/>
      <c r="H42" s="66"/>
      <c r="L42" s="62"/>
      <c r="M42" s="193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3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3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235116.71</v>
      </c>
      <c r="F45" s="93" t="s">
        <v>167</v>
      </c>
      <c r="G45" s="65"/>
      <c r="H45" s="65"/>
      <c r="L45" s="62"/>
      <c r="M45" s="193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16137.04</v>
      </c>
      <c r="D46" s="93" t="s">
        <v>168</v>
      </c>
      <c r="E46" s="67"/>
      <c r="G46" s="66"/>
      <c r="H46" s="66"/>
      <c r="L46" s="62"/>
      <c r="M46" s="193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233616.6</v>
      </c>
      <c r="D47" s="93" t="s">
        <v>166</v>
      </c>
      <c r="E47" s="67"/>
      <c r="G47" s="66"/>
      <c r="H47" s="66"/>
      <c r="L47" s="62"/>
      <c r="M47" s="193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1500.109999999986</v>
      </c>
      <c r="D48" s="79" t="s">
        <v>59</v>
      </c>
      <c r="E48" s="67"/>
      <c r="G48" s="66"/>
      <c r="H48" s="66"/>
      <c r="L48" s="62"/>
      <c r="M48" s="193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235116.71</v>
      </c>
      <c r="D49" s="79" t="s">
        <v>59</v>
      </c>
      <c r="E49" s="67"/>
      <c r="G49" s="66"/>
      <c r="H49" s="66"/>
      <c r="L49" s="62"/>
      <c r="M49" s="193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235116.71</v>
      </c>
      <c r="D50" s="79" t="s">
        <v>59</v>
      </c>
      <c r="E50" s="67"/>
      <c r="G50" s="66"/>
      <c r="H50" s="66"/>
      <c r="L50" s="62"/>
      <c r="M50" s="193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3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3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264344.39</v>
      </c>
      <c r="F53" s="93" t="s">
        <v>167</v>
      </c>
      <c r="G53" s="65"/>
      <c r="H53" s="65"/>
      <c r="L53" s="62"/>
      <c r="M53" s="193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14926.28</v>
      </c>
      <c r="D54" s="93" t="s">
        <v>168</v>
      </c>
      <c r="E54" s="68"/>
      <c r="F54" s="88"/>
      <c r="G54" s="63"/>
      <c r="H54" s="63"/>
      <c r="L54" s="62"/>
      <c r="M54" s="193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265965.68</v>
      </c>
      <c r="D55" s="93" t="s">
        <v>166</v>
      </c>
      <c r="E55" s="68"/>
      <c r="G55" s="63"/>
      <c r="H55" s="63"/>
      <c r="L55" s="62"/>
      <c r="M55" s="193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3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264344.39</v>
      </c>
      <c r="D57" s="79" t="s">
        <v>59</v>
      </c>
      <c r="E57" s="68"/>
      <c r="G57" s="63"/>
      <c r="H57" s="63"/>
      <c r="L57" s="62"/>
      <c r="M57" s="193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264344.39</v>
      </c>
      <c r="D58" s="79" t="s">
        <v>59</v>
      </c>
      <c r="E58" s="68"/>
      <c r="G58" s="63"/>
      <c r="H58" s="63"/>
      <c r="L58" s="62"/>
      <c r="M58" s="193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3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3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225902.12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418.03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225265.51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636.60999999998603</v>
      </c>
      <c r="D64" s="79" t="s">
        <v>59</v>
      </c>
      <c r="E64" s="131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225902.12</v>
      </c>
      <c r="D65" s="79" t="s">
        <v>59</v>
      </c>
      <c r="E65" s="131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225902.12</v>
      </c>
      <c r="D66" s="79" t="s">
        <v>59</v>
      </c>
      <c r="E66" s="131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131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/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/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/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/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/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/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2" sqref="E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10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396500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2024-03-29T01:38:44Z</dcterms:modified>
</cp:coreProperties>
</file>