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H63" i="2" l="1"/>
  <c r="F63" i="2"/>
  <c r="H59" i="2"/>
  <c r="F59" i="2"/>
  <c r="H53" i="2"/>
  <c r="H54" i="2" s="1"/>
  <c r="H64" i="2" l="1"/>
  <c r="H65" i="2" s="1"/>
  <c r="H60" i="2"/>
  <c r="H61" i="2" s="1"/>
  <c r="D2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G94" i="1"/>
  <c r="K94" i="1"/>
  <c r="A118" i="1" l="1"/>
  <c r="A123" i="1"/>
  <c r="A114" i="1"/>
  <c r="A99" i="1"/>
  <c r="A94" i="1"/>
  <c r="A100" i="1"/>
  <c r="D94" i="1"/>
  <c r="A141" i="1"/>
  <c r="F134" i="1"/>
  <c r="A96" i="1"/>
  <c r="A105" i="1"/>
  <c r="A119" i="1"/>
  <c r="A137" i="1"/>
  <c r="D118" i="1"/>
  <c r="A120" i="1"/>
  <c r="A124" i="1"/>
  <c r="F118" i="1"/>
  <c r="A121" i="1"/>
  <c r="A125" i="1"/>
  <c r="A110" i="1"/>
  <c r="A111" i="1"/>
  <c r="A115" i="1"/>
  <c r="D110" i="1"/>
  <c r="A112" i="1"/>
  <c r="A116" i="1"/>
  <c r="F110" i="1"/>
  <c r="A113" i="1"/>
  <c r="A95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81" i="1"/>
  <c r="F173" i="1"/>
  <c r="H167" i="1"/>
  <c r="F166" i="1"/>
  <c r="H164" i="1"/>
  <c r="F184" i="1"/>
  <c r="H165" i="1"/>
  <c r="H180" i="1"/>
  <c r="H178" i="1"/>
  <c r="H175" i="1"/>
  <c r="F182" i="1"/>
  <c r="H172" i="1"/>
  <c r="F178" i="1"/>
  <c r="F176" i="1"/>
  <c r="F180" i="1"/>
  <c r="H169" i="1"/>
  <c r="H187" i="1"/>
  <c r="H182" i="1"/>
  <c r="F164" i="1"/>
  <c r="F181" i="1"/>
  <c r="F169" i="1"/>
  <c r="F175" i="1"/>
  <c r="H170" i="1"/>
  <c r="H174" i="1"/>
  <c r="H166" i="1"/>
  <c r="F179" i="1"/>
  <c r="F172" i="1"/>
  <c r="F170" i="1"/>
  <c r="H176" i="1"/>
  <c r="F171" i="1"/>
  <c r="H171" i="1"/>
  <c r="H177" i="1"/>
  <c r="F167" i="1"/>
  <c r="F165" i="1"/>
  <c r="F168" i="1"/>
  <c r="H173" i="1"/>
  <c r="F177" i="1"/>
  <c r="H168" i="1"/>
  <c r="H184" i="1"/>
  <c r="F185" i="1"/>
  <c r="F186" i="1"/>
  <c r="H179" i="1"/>
  <c r="H185" i="1"/>
  <c r="F174" i="1"/>
  <c r="F183" i="1"/>
  <c r="H183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<sst xmlns="http://schemas.openxmlformats.org/spreadsheetml/2006/main" count="566" uniqueCount="212">
  <si>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</si>
  <si>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</si>
  <si>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</si>
  <si>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</si>
  <si>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</si>
  <si>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</si>
  <si>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</si>
  <si>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</si>
  <si>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</si>
  <si>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</si>
  <si>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</si>
  <si>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</si>
  <si>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</si>
  <si>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</si>
  <si>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</si>
  <si>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</si>
  <si>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</si>
  <si>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</si>
  <si>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</si>
  <si>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</si>
  <si>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</si>
  <si>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</si>
  <si>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</si>
  <si>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</si>
  <si>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</si>
  <si>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</si>
  <si>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</si>
  <si>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</si>
  <si>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</si>
  <si>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</si>
  <si>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</si>
  <si>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</si>
  <si>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</si>
  <si>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</si>
  <si>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</si>
  <si>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</si>
  <si>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</si>
  <si>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</si>
  <si>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</si>
  <si>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</si>
  <si>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</si>
  <si>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</si>
  <si>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</si>
  <si>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</si>
  <si>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</si>
  <si>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</si>
  <si>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</si>
  <si>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</si>
  <si>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</si>
  <si>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</si>
  <si>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</si>
  <si>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</si>
  <si>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</si>
  <si>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</si>
  <si>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</si>
  <si>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</si>
  <si>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</si>
  <si>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</si>
  <si>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</si>
  <si>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</si>
  <si>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</si>
  <si>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</si>
  <si>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</si>
  <si>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</si>
  <si>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</si>
  <si>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</si>
  <si>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</si>
  <si>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</si>
  <si>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Отчет об исполнении договора управления многоквартирного дома 
Александра Невского, 99/6 в части текущего ремонта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</si>
  <si>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</si>
  <si>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</si>
  <si>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</si>
  <si>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</si>
  <si>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</si>
  <si>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</si>
  <si>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</si>
  <si>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</si>
  <si>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</si>
  <si>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</si>
  <si>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</si>
  <si>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</si>
  <si>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</si>
  <si>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</si>
  <si>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</si>
  <si>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</si>
  <si>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</si>
  <si>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</si>
  <si>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</si>
  <si>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</si>
  <si>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</si>
  <si>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</si>
  <si>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</si>
  <si>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</si>
  <si>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</si>
  <si>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</si>
  <si>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</si>
  <si>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</si>
  <si>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</si>
  <si>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</si>
  <si>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</si>
  <si>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</si>
  <si>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</si>
  <si>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</si>
  <si>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</si>
  <si>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</si>
  <si>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</si>
  <si>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</si>
  <si>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</si>
  <si>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</si>
  <si>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</si>
  <si>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</si>
  <si>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</si>
  <si>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</si>
  <si>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</si>
  <si>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</si>
  <si>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</si>
  <si>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</si>
  <si>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</si>
  <si>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</si>
  <si>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</si>
  <si>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</si>
  <si>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</si>
  <si>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</si>
  <si>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</si>
  <si>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</si>
  <si>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</si>
  <si>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</si>
  <si>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</si>
  <si>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</si>
  <si>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</si>
  <si>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</si>
  <si>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</si>
  <si>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</si>
  <si>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</si>
  <si>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</si>
  <si>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</si>
  <si>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</si>
  <si>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</si>
  <si>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</si>
  <si>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</si>
  <si>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</si>
  <si>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</si>
  <si>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</si>
  <si>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</si>
  <si>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</si>
  <si>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</si>
  <si>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</si>
  <si>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</si>
  <si>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</si>
  <si>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</si>
  <si>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</si>
  <si>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</si>
  <si>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</si>
  <si>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</si>
  <si>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</si>
  <si>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</si>
  <si>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</si>
  <si>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</si>
  <si>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</si>
  <si>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</si>
  <si>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</si>
  <si>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</si>
  <si>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</si>
  <si>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</si>
  <si>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</si>
  <si>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</si>
  <si>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</si>
  <si>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</si>
  <si>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</si>
  <si>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</si>
  <si>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</si>
  <si>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</si>
  <si>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</si>
  <si>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</si>
  <si>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</si>
  <si>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</si>
  <si>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</si>
  <si>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</si>
  <si>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</si>
  <si>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99/6</t>
  </si>
  <si>
    <t>Техническое обслуживание системы видеонаблюдения.</t>
  </si>
  <si>
    <t>ежемесячно</t>
  </si>
  <si>
    <t>ежегодно</t>
  </si>
  <si>
    <t>площадь дома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</si>
  <si>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</si>
  <si>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</si>
  <si>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</si>
  <si>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</si>
  <si>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</si>
  <si>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</si>
  <si>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</si>
  <si>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подъезда</t>
  </si>
  <si>
    <t>разово</t>
  </si>
  <si>
    <t>Механизированная уборка и вывоз снега с придомовой территории.</t>
  </si>
  <si>
    <t>Услуги  и работы по управлению МКД</t>
  </si>
  <si>
    <t xml:space="preserve">  -  механизированная уборка и вывоз снега с придомовой территории</t>
  </si>
  <si>
    <t xml:space="preserve">  -  монтаж резинового покрытия крыльца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</si>
  <si>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</si>
  <si>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</si>
  <si>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</si>
  <si>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</si>
  <si>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</si>
  <si>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Монтаж системы видеонаблюдения.</t>
  </si>
  <si>
    <t>Решение, счет №44 от 19.06.2023</t>
  </si>
  <si>
    <t>счет №5268 от 11.07.2023</t>
  </si>
  <si>
    <t>счет №349 от 13.09.2023</t>
  </si>
  <si>
    <t>Приобретение и замена предохранительных клапанов в ИТП (4 шт.).</t>
  </si>
  <si>
    <t>счет №91 от 31.12.2022</t>
  </si>
  <si>
    <t>Приобретение и замена регистратора системы видеонаблюдения.</t>
  </si>
  <si>
    <t>счет №88 от 18.10.2023</t>
  </si>
  <si>
    <t xml:space="preserve">  -  замена кранов шаровых на стояках систем ГВС и ХВС</t>
  </si>
  <si>
    <t>Приобретение и замена шаровых кранов (Ду 65), манометров (10 шт.) и термометров (6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</si>
</sst>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1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 applyBorder="1" applyAlignment="1">
      <alignment horizontal="center"/>
    </xf>
    <xf numFmtId="4" fontId="27" fillId="3" borderId="0" xfId="7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0" fillId="6" borderId="0" xfId="0" applyFill="1" applyBorder="1"/>
    <xf numFmtId="4" fontId="17" fillId="0" borderId="0" xfId="1" applyNumberFormat="1" applyFont="1" applyBorder="1" applyAlignment="1" applyProtection="1">
      <alignment horizontal="center" wrapText="1"/>
      <protection locked="0"/>
    </xf>
    <xf numFmtId="4" fontId="17" fillId="0" borderId="0" xfId="0" applyNumberFormat="1" applyFont="1" applyBorder="1" applyAlignment="1" applyProtection="1">
      <alignment wrapText="1"/>
      <protection locked="0"/>
    </xf>
    <xf numFmtId="0" fontId="17" fillId="0" borderId="0" xfId="0" applyFont="1" applyFill="1" applyBorder="1" applyAlignment="1">
      <alignment horizontal="left"/>
    </xf>
    <xf numFmtId="0" fontId="25" fillId="6" borderId="0" xfId="5" applyFont="1" applyFill="1" applyBorder="1" applyAlignment="1"/>
    <xf numFmtId="0" fontId="25" fillId="6" borderId="0" xfId="5" applyFont="1" applyFill="1" applyBorder="1" applyAlignment="1">
      <alignment horizontal="center"/>
    </xf>
    <xf numFmtId="0" fontId="25" fillId="6" borderId="0" xfId="5" applyNumberFormat="1" applyFont="1" applyFill="1" applyBorder="1" applyAlignment="1">
      <alignment horizontal="center"/>
    </xf>
    <xf numFmtId="4" fontId="25" fillId="6" borderId="0" xfId="5" applyNumberFormat="1" applyFont="1" applyFill="1" applyBorder="1" applyAlignment="1"/>
    <xf numFmtId="0" fontId="11" fillId="6" borderId="0" xfId="5" applyFill="1" applyBorder="1" applyAlignment="1"/>
    <xf numFmtId="0" fontId="11" fillId="6" borderId="0" xfId="5" applyFill="1" applyBorder="1" applyAlignment="1">
      <alignment horizontal="center"/>
    </xf>
    <xf numFmtId="4" fontId="11" fillId="6" borderId="0" xfId="5" applyNumberFormat="1" applyFill="1" applyBorder="1" applyAlignment="1"/>
    <xf numFmtId="0" fontId="8" fillId="6" borderId="0" xfId="2" applyFont="1" applyFill="1" applyBorder="1" applyAlignment="1"/>
    <xf numFmtId="0" fontId="8" fillId="6" borderId="0" xfId="4" applyFont="1" applyFill="1" applyBorder="1" applyAlignment="1">
      <alignment horizontal="center"/>
    </xf>
    <xf numFmtId="0" fontId="12" fillId="6" borderId="0" xfId="4" applyFill="1" applyBorder="1" applyAlignment="1">
      <alignment horizontal="center"/>
    </xf>
    <xf numFmtId="4" fontId="25" fillId="6" borderId="0" xfId="4" applyNumberFormat="1" applyFont="1" applyFill="1" applyBorder="1" applyAlignment="1"/>
    <xf numFmtId="0" fontId="25" fillId="6" borderId="0" xfId="4" applyFont="1" applyFill="1" applyBorder="1" applyAlignment="1"/>
    <xf numFmtId="0" fontId="7" fillId="6" borderId="0" xfId="4" applyFont="1" applyFill="1" applyBorder="1" applyAlignment="1">
      <alignment horizontal="center"/>
    </xf>
    <xf numFmtId="0" fontId="6" fillId="6" borderId="0" xfId="4" applyFont="1" applyFill="1" applyBorder="1" applyAlignment="1">
      <alignment horizontal="center"/>
    </xf>
    <xf numFmtId="0" fontId="4" fillId="6" borderId="0" xfId="2" applyFont="1" applyFill="1" applyBorder="1" applyAlignment="1"/>
    <xf numFmtId="0" fontId="4" fillId="6" borderId="0" xfId="4" applyFont="1" applyFill="1" applyBorder="1" applyAlignment="1">
      <alignment horizontal="center"/>
    </xf>
    <xf numFmtId="0" fontId="25" fillId="6" borderId="0" xfId="20" applyFont="1" applyFill="1" applyBorder="1" applyAlignment="1"/>
    <xf numFmtId="0" fontId="2" fillId="6" borderId="0" xfId="2" applyFont="1" applyFill="1" applyBorder="1" applyAlignment="1"/>
    <xf numFmtId="0" fontId="2" fillId="6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1" fillId="6" borderId="0" xfId="8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14"/>
    <cellStyle name="Обычный 2 4" xfId="18"/>
    <cellStyle name="Обычный 2 5" xfId="7"/>
    <cellStyle name="Обычный 2 5 2" xfId="15"/>
    <cellStyle name="Обычный 2 6" xfId="9"/>
    <cellStyle name="Обычный 3" xfId="2"/>
    <cellStyle name="Обычный 3 2" xfId="19"/>
    <cellStyle name="Обычный 3 3" xfId="10"/>
    <cellStyle name="Обычный 4" xfId="4"/>
    <cellStyle name="Обычный 4 2" xfId="6"/>
    <cellStyle name="Обычный 4 2 2" xfId="20"/>
    <cellStyle name="Обычный 4 3" xfId="11"/>
    <cellStyle name="Обычный 5" xfId="5"/>
    <cellStyle name="Обычный 5 2" xfId="21"/>
    <cellStyle name="Обычный 5 3" xfId="12"/>
    <cellStyle name="Обычный 5 7" xfId="8"/>
    <cellStyle name="Обычный 6" xfId="13"/>
    <cellStyle name="Обычный 6 2" xfId="17"/>
    <cellStyle name="Обычный 7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7" t="s">
        <v>179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08"/>
      <c r="L8" s="168"/>
      <c r="M8" s="108"/>
      <c r="N8" s="108"/>
      <c r="O8" s="69" t="s">
        <v>85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08"/>
      <c r="L9" s="168"/>
      <c r="M9" s="108"/>
      <c r="N9" s="108"/>
      <c r="O9" s="69" t="s">
        <v>86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173383.09</v>
      </c>
      <c r="K10" s="108"/>
      <c r="L10" s="168"/>
      <c r="M10" s="108"/>
      <c r="N10" s="108"/>
      <c r="O10" s="69" t="s">
        <v>87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709279.2</v>
      </c>
      <c r="K11" s="108"/>
      <c r="L11" s="168"/>
      <c r="M11" s="108"/>
      <c r="N11" s="108"/>
      <c r="O11" s="69" t="s">
        <v>88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542364.84</v>
      </c>
      <c r="K12" s="108"/>
      <c r="L12" s="168"/>
      <c r="M12" s="108"/>
      <c r="N12" s="108"/>
      <c r="O12" s="69" t="s">
        <v>89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166914.36000000002</v>
      </c>
      <c r="K13" s="108"/>
      <c r="L13" s="168"/>
      <c r="M13" s="108"/>
      <c r="N13" s="108"/>
      <c r="O13" s="69" t="s">
        <v>90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08"/>
      <c r="L14" s="168"/>
      <c r="M14" s="108"/>
      <c r="N14" s="108"/>
      <c r="O14" s="69" t="s">
        <v>91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703068.45</v>
      </c>
      <c r="K15" s="108"/>
      <c r="L15" s="168"/>
      <c r="M15" s="108"/>
      <c r="N15" s="108"/>
      <c r="O15" s="69" t="s">
        <v>92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703068.45</v>
      </c>
      <c r="K16" s="108"/>
      <c r="L16" s="168"/>
      <c r="M16" s="108"/>
      <c r="N16" s="108"/>
      <c r="O16" s="69" t="s">
        <v>93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08"/>
      <c r="L17" s="168"/>
      <c r="M17" s="108"/>
      <c r="N17" s="108"/>
      <c r="O17" s="69" t="s">
        <v>94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08"/>
      <c r="L18" s="168"/>
      <c r="M18" s="108"/>
      <c r="N18" s="108"/>
      <c r="O18" s="69" t="s">
        <v>95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08"/>
      <c r="L19" s="168"/>
      <c r="M19" s="108"/>
      <c r="N19" s="108"/>
      <c r="O19" s="69" t="s">
        <v>96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08"/>
      <c r="L20" s="168"/>
      <c r="M20" s="108"/>
      <c r="N20" s="108"/>
      <c r="O20" s="69" t="s">
        <v>97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703068.45</v>
      </c>
      <c r="K21" s="108"/>
      <c r="L21" s="168"/>
      <c r="M21" s="108"/>
      <c r="N21" s="108"/>
      <c r="O21" s="69" t="s">
        <v>98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08"/>
      <c r="L22" s="168"/>
      <c r="M22" s="108"/>
      <c r="N22" s="108"/>
      <c r="O22" s="69" t="s">
        <v>99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08"/>
      <c r="L23" s="168"/>
      <c r="M23" s="108"/>
      <c r="N23" s="108"/>
      <c r="O23" s="69" t="s">
        <v>100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179593.83999999997</v>
      </c>
      <c r="K24" s="108"/>
      <c r="L24" s="168"/>
      <c r="M24" s="108"/>
      <c r="N24" s="108"/>
      <c r="O24" s="69" t="s">
        <v>101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08"/>
      <c r="L27" s="169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161280.12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8"/>
      <c r="L28" s="169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72</v>
      </c>
    </row>
    <row r="29" spans="1:23" ht="96.75" customHeight="1" outlineLevel="1">
      <c r="A29" s="152" t="str">
        <f>ПТО!A40</f>
        <v>Работы по содержанию лифта (лифтов)</v>
      </c>
      <c r="B29" s="152"/>
      <c r="C29" s="152"/>
      <c r="D29" s="152"/>
      <c r="E29" s="152"/>
      <c r="F29" s="157">
        <f>VLOOKUP(A29,ПТО!$A$39:$D$53,2,FALSE)</f>
        <v>67963.08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8"/>
      <c r="L29" s="169"/>
      <c r="M29" s="108"/>
      <c r="N29" s="108"/>
      <c r="O29" s="23" t="str">
        <f t="shared" si="1"/>
        <v>Работы по содержанию лифта (лифтов)</v>
      </c>
      <c r="R29" s="1" t="s">
        <v>72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45426.12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8"/>
      <c r="L30" s="169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72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42256.800000000003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8"/>
      <c r="L31" s="169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72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8"/>
      <c r="L32" s="169"/>
      <c r="M32" s="108"/>
      <c r="N32" s="108"/>
      <c r="O32" s="23">
        <f t="shared" si="1"/>
        <v>0</v>
      </c>
      <c r="R32" s="1" t="s">
        <v>72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12324.96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8"/>
      <c r="L33" s="169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72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46834.68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8"/>
      <c r="L34" s="169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72</v>
      </c>
    </row>
    <row r="35" spans="1:18" ht="51" customHeight="1" outlineLevel="1">
      <c r="A35" s="152" t="str">
        <f>ПТО!A46</f>
        <v>Услуги  и работы по управлению МКД</v>
      </c>
      <c r="B35" s="152"/>
      <c r="C35" s="152"/>
      <c r="D35" s="152"/>
      <c r="E35" s="152"/>
      <c r="F35" s="157">
        <f>VLOOKUP(A35,ПТО!$A$39:$D$53,2,FALSE)</f>
        <v>176070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8"/>
      <c r="L35" s="169"/>
      <c r="M35" s="115"/>
      <c r="N35" s="108"/>
      <c r="O35" s="23" t="str">
        <f t="shared" si="1"/>
        <v>Услуги  и работы по управлению МКД</v>
      </c>
      <c r="R35" s="1" t="s">
        <v>72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8"/>
      <c r="L36" s="169"/>
      <c r="M36" s="115"/>
      <c r="N36" s="108"/>
      <c r="O36" s="23">
        <f t="shared" si="1"/>
        <v>0</v>
      </c>
      <c r="R36" s="1" t="s">
        <v>72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8"/>
      <c r="L37" s="169"/>
      <c r="M37" s="115"/>
      <c r="N37" s="108"/>
      <c r="O37" s="23">
        <f t="shared" si="1"/>
        <v>0</v>
      </c>
      <c r="R37" s="1" t="s">
        <v>72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8"/>
      <c r="L38" s="169"/>
      <c r="M38" s="115"/>
      <c r="N38" s="108"/>
      <c r="O38" s="23">
        <f t="shared" si="1"/>
        <v>0</v>
      </c>
      <c r="R38" s="1" t="s">
        <v>72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8"/>
      <c r="L39" s="169"/>
      <c r="M39" s="115"/>
      <c r="N39" s="108"/>
      <c r="O39" s="23">
        <f t="shared" si="1"/>
        <v>0</v>
      </c>
      <c r="R39" s="1" t="s">
        <v>72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8"/>
      <c r="L40" s="169"/>
      <c r="M40" s="115"/>
      <c r="N40" s="108"/>
      <c r="O40" s="23">
        <f t="shared" si="1"/>
        <v>0</v>
      </c>
      <c r="R40" s="1" t="s">
        <v>72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8"/>
      <c r="L41" s="169"/>
      <c r="M41" s="115"/>
      <c r="N41" s="108"/>
      <c r="O41" s="23">
        <f t="shared" si="1"/>
        <v>0</v>
      </c>
      <c r="R41" s="1" t="s">
        <v>72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8"/>
      <c r="L42" s="169"/>
      <c r="M42" s="115"/>
      <c r="N42" s="108"/>
      <c r="O42" s="23">
        <f t="shared" si="1"/>
        <v>0</v>
      </c>
      <c r="R42" s="1" t="s">
        <v>72</v>
      </c>
    </row>
    <row r="43" spans="1:18" ht="51" customHeight="1" outlineLevel="1">
      <c r="A43" s="152" t="str">
        <f>ПТО!A2</f>
        <v>Техническое обслуживание системы видеонаблюдения.</v>
      </c>
      <c r="B43" s="152"/>
      <c r="C43" s="152"/>
      <c r="D43" s="152"/>
      <c r="E43" s="152"/>
      <c r="F43" s="157">
        <f>VLOOKUP(A43,ПТО!$A$2:$D$31,4,FALSE)</f>
        <v>5240</v>
      </c>
      <c r="G43" s="157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08"/>
      <c r="L43" s="169"/>
      <c r="M43" s="115"/>
      <c r="N43" s="108"/>
      <c r="O43" s="23" t="str">
        <f t="shared" si="1"/>
        <v>Техническое обслуживание системы видеонаблюдения.</v>
      </c>
      <c r="R43" s="22" t="s">
        <v>73</v>
      </c>
    </row>
    <row r="44" spans="1:18" ht="51" customHeight="1" outlineLevel="1">
      <c r="A44" s="152" t="str">
        <f>ПТО!A3</f>
        <v>Техническое освидетельствование лифта.</v>
      </c>
      <c r="B44" s="152"/>
      <c r="C44" s="152"/>
      <c r="D44" s="152"/>
      <c r="E44" s="152"/>
      <c r="F44" s="157">
        <f>VLOOKUP(A44,ПТО!$A$2:$D$31,4,FALSE)</f>
        <v>8100</v>
      </c>
      <c r="G44" s="157"/>
      <c r="H44" s="25" t="str">
        <f>VLOOKUP(A44,ПТО!$A$2:$D$31,2,FALSE)</f>
        <v>ежегодно</v>
      </c>
      <c r="I44" s="153">
        <f>VLOOKUP(A44,ПТО!$A$2:$D$31,3,FALSE)</f>
        <v>1</v>
      </c>
      <c r="J44" s="153"/>
      <c r="K44" s="108"/>
      <c r="L44" s="169"/>
      <c r="M44" s="115"/>
      <c r="N44" s="108"/>
      <c r="O44" s="23" t="str">
        <f t="shared" si="1"/>
        <v>Техническое освидетельствование лифта.</v>
      </c>
      <c r="R44" s="22" t="s">
        <v>73</v>
      </c>
    </row>
    <row r="45" spans="1:18" ht="51" customHeight="1" outlineLevel="1">
      <c r="A45" s="152" t="str">
        <f>ПТО!A4</f>
        <v>Механизированная уборка и вывоз снега с придомовой территории.</v>
      </c>
      <c r="B45" s="152"/>
      <c r="C45" s="152"/>
      <c r="D45" s="152"/>
      <c r="E45" s="152"/>
      <c r="F45" s="157">
        <f>VLOOKUP(A45,ПТО!$A$2:$D$31,4,FALSE)</f>
        <v>22940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8"/>
      <c r="L45" s="169"/>
      <c r="M45" s="115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73</v>
      </c>
    </row>
    <row r="46" spans="1:18" ht="51" customHeight="1" outlineLevel="1">
      <c r="A46" s="152" t="str">
        <f>ПТО!A5</f>
        <v>Монтаж системы видеонаблюдения.</v>
      </c>
      <c r="B46" s="152"/>
      <c r="C46" s="152"/>
      <c r="D46" s="152"/>
      <c r="E46" s="152"/>
      <c r="F46" s="157">
        <f>VLOOKUP(A46,ПТО!$A$2:$D$31,4,FALSE)</f>
        <v>144924.5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8"/>
      <c r="L46" s="169"/>
      <c r="M46" s="115"/>
      <c r="N46" s="108"/>
      <c r="O46" s="23" t="str">
        <f t="shared" si="1"/>
        <v>Монтаж системы видеонаблюдения.</v>
      </c>
      <c r="R46" s="22" t="s">
        <v>73</v>
      </c>
    </row>
    <row r="47" spans="1:18" ht="51" customHeight="1" outlineLevel="1">
      <c r="A47" s="152" t="str">
        <f>ПТО!A6</f>
        <v>Приобретение и замена шаровых кранов (Ду 65), манометров (10 шт.) и термометров (6 шт.).</v>
      </c>
      <c r="B47" s="152"/>
      <c r="C47" s="152"/>
      <c r="D47" s="152"/>
      <c r="E47" s="152"/>
      <c r="F47" s="157">
        <f>VLOOKUP(A47,ПТО!$A$2:$D$31,4,FALSE)</f>
        <v>8497.0999999999985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8"/>
      <c r="L47" s="169"/>
      <c r="M47" s="115"/>
      <c r="N47" s="108"/>
      <c r="O47" s="23" t="str">
        <f t="shared" si="1"/>
        <v>Приобретение и замена шаровых кранов (Ду 65), манометров (10 шт.) и термометров (6 шт.).</v>
      </c>
      <c r="R47" s="22" t="s">
        <v>73</v>
      </c>
    </row>
    <row r="48" spans="1:18" ht="51" customHeight="1" outlineLevel="1">
      <c r="A48" s="152" t="str">
        <f>ПТО!A7</f>
        <v>Приобретение и замена предохранительных клапанов в ИТП (4 шт.).</v>
      </c>
      <c r="B48" s="152"/>
      <c r="C48" s="152"/>
      <c r="D48" s="152"/>
      <c r="E48" s="152"/>
      <c r="F48" s="157">
        <f>VLOOKUP(A48,ПТО!$A$2:$D$31,4,FALSE)</f>
        <v>1340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8"/>
      <c r="L48" s="169"/>
      <c r="M48" s="115"/>
      <c r="N48" s="108"/>
      <c r="O48" s="23" t="str">
        <f t="shared" si="1"/>
        <v>Приобретение и замена предохранительных клапанов в ИТП (4 шт.).</v>
      </c>
      <c r="R48" s="22" t="s">
        <v>73</v>
      </c>
    </row>
    <row r="49" spans="1:18" ht="51" customHeight="1" outlineLevel="1">
      <c r="A49" s="152" t="str">
        <f>ПТО!A8</f>
        <v>Приобретение и замена регистратора системы видеонаблюдения.</v>
      </c>
      <c r="B49" s="152"/>
      <c r="C49" s="152"/>
      <c r="D49" s="152"/>
      <c r="E49" s="152"/>
      <c r="F49" s="157">
        <f>VLOOKUP(A49,ПТО!$A$2:$D$31,4,FALSE)</f>
        <v>6909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8"/>
      <c r="L49" s="169"/>
      <c r="M49" s="115"/>
      <c r="N49" s="108"/>
      <c r="O49" s="23" t="str">
        <f t="shared" si="1"/>
        <v>Приобретение и замена регистратора системы видеонаблюдения.</v>
      </c>
      <c r="R49" s="22" t="s">
        <v>73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7" t="e">
        <f>VLOOKUP(A50,ПТО!$A$2:$D$31,4,FALSE)</f>
        <v>#N/A</v>
      </c>
      <c r="G50" s="157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08"/>
      <c r="L50" s="169"/>
      <c r="M50" s="115"/>
      <c r="N50" s="108"/>
      <c r="O50" s="23">
        <f t="shared" si="1"/>
        <v>0</v>
      </c>
      <c r="R50" s="22" t="s">
        <v>73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7" t="e">
        <f>VLOOKUP(A51,ПТО!$A$2:$D$31,4,FALSE)</f>
        <v>#N/A</v>
      </c>
      <c r="G51" s="157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08"/>
      <c r="L51" s="169"/>
      <c r="M51" s="115"/>
      <c r="N51" s="108"/>
      <c r="O51" s="23">
        <f t="shared" si="1"/>
        <v>0</v>
      </c>
      <c r="R51" s="22" t="s">
        <v>73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8"/>
      <c r="L52" s="169"/>
      <c r="M52" s="115"/>
      <c r="N52" s="108"/>
      <c r="O52" s="23">
        <f t="shared" si="1"/>
        <v>0</v>
      </c>
      <c r="R52" s="22" t="s">
        <v>73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8"/>
      <c r="L53" s="169"/>
      <c r="M53" s="115"/>
      <c r="N53" s="108"/>
      <c r="O53" s="23">
        <f t="shared" si="1"/>
        <v>0</v>
      </c>
      <c r="R53" s="22" t="s">
        <v>73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8"/>
      <c r="L54" s="169"/>
      <c r="M54" s="115"/>
      <c r="N54" s="108"/>
      <c r="O54" s="23">
        <f t="shared" si="1"/>
        <v>0</v>
      </c>
      <c r="R54" s="22" t="s">
        <v>73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8"/>
      <c r="L55" s="169"/>
      <c r="M55" s="115"/>
      <c r="N55" s="108"/>
      <c r="O55" s="23">
        <f t="shared" si="1"/>
        <v>0</v>
      </c>
      <c r="R55" s="22" t="s">
        <v>73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8"/>
      <c r="L56" s="169"/>
      <c r="M56" s="115"/>
      <c r="N56" s="108"/>
      <c r="O56" s="23">
        <f t="shared" si="1"/>
        <v>0</v>
      </c>
      <c r="R56" s="22" t="s">
        <v>73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8"/>
      <c r="L57" s="169"/>
      <c r="M57" s="115"/>
      <c r="N57" s="108"/>
      <c r="O57" s="23">
        <f t="shared" si="1"/>
        <v>0</v>
      </c>
      <c r="R57" s="22" t="s">
        <v>73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8"/>
      <c r="L58" s="169"/>
      <c r="M58" s="115"/>
      <c r="N58" s="108"/>
      <c r="O58" s="23">
        <f t="shared" si="1"/>
        <v>0</v>
      </c>
      <c r="R58" s="22" t="s">
        <v>73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8"/>
      <c r="L59" s="169"/>
      <c r="M59" s="115"/>
      <c r="N59" s="108"/>
      <c r="O59" s="23">
        <f t="shared" si="1"/>
        <v>0</v>
      </c>
      <c r="R59" s="22" t="s">
        <v>73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8"/>
      <c r="L60" s="169"/>
      <c r="M60" s="115"/>
      <c r="N60" s="108"/>
      <c r="O60" s="23">
        <f t="shared" si="1"/>
        <v>0</v>
      </c>
      <c r="R60" s="22" t="s">
        <v>73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8"/>
      <c r="L61" s="169"/>
      <c r="M61" s="115"/>
      <c r="N61" s="108"/>
      <c r="O61" s="23">
        <f t="shared" si="1"/>
        <v>0</v>
      </c>
      <c r="R61" s="22" t="s">
        <v>73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8"/>
      <c r="L62" s="169"/>
      <c r="M62" s="115"/>
      <c r="N62" s="108"/>
      <c r="O62" s="23">
        <f t="shared" si="1"/>
        <v>0</v>
      </c>
      <c r="R62" s="22" t="s">
        <v>73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8"/>
      <c r="L63" s="169"/>
      <c r="M63" s="115"/>
      <c r="N63" s="108"/>
      <c r="O63" s="23">
        <f t="shared" si="1"/>
        <v>0</v>
      </c>
      <c r="R63" s="22" t="s">
        <v>73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8"/>
      <c r="L64" s="169"/>
      <c r="M64" s="115"/>
      <c r="N64" s="108"/>
      <c r="O64" s="23">
        <f t="shared" si="1"/>
        <v>0</v>
      </c>
      <c r="R64" s="22" t="s">
        <v>73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8"/>
      <c r="L65" s="169"/>
      <c r="M65" s="115"/>
      <c r="N65" s="108"/>
      <c r="O65" s="23">
        <f t="shared" si="1"/>
        <v>0</v>
      </c>
      <c r="R65" s="22" t="s">
        <v>73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8"/>
      <c r="L66" s="169"/>
      <c r="M66" s="115"/>
      <c r="N66" s="108"/>
      <c r="O66" s="23">
        <f t="shared" si="1"/>
        <v>0</v>
      </c>
      <c r="R66" s="22" t="s">
        <v>73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8"/>
      <c r="L67" s="169"/>
      <c r="M67" s="115"/>
      <c r="N67" s="108"/>
      <c r="O67" s="23">
        <f t="shared" si="1"/>
        <v>0</v>
      </c>
      <c r="R67" s="22" t="s">
        <v>73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8"/>
      <c r="L68" s="169"/>
      <c r="M68" s="115"/>
      <c r="N68" s="108"/>
      <c r="O68" s="23">
        <f t="shared" si="1"/>
        <v>0</v>
      </c>
      <c r="R68" s="22" t="s">
        <v>73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8"/>
      <c r="L69" s="169"/>
      <c r="M69" s="115"/>
      <c r="N69" s="108"/>
      <c r="O69" s="23">
        <f t="shared" si="1"/>
        <v>0</v>
      </c>
      <c r="R69" s="22" t="s">
        <v>73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8"/>
      <c r="L70" s="169"/>
      <c r="M70" s="115"/>
      <c r="N70" s="108"/>
      <c r="O70" s="23">
        <f t="shared" si="1"/>
        <v>0</v>
      </c>
      <c r="R70" s="22" t="s">
        <v>73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69"/>
      <c r="M71" s="115"/>
      <c r="N71" s="115"/>
      <c r="O71" s="23">
        <f t="shared" si="1"/>
        <v>0</v>
      </c>
      <c r="P71" s="22"/>
      <c r="Q71" s="22"/>
      <c r="R71" s="22" t="s">
        <v>73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8"/>
      <c r="L72" s="169"/>
      <c r="M72" s="115"/>
      <c r="N72" s="108"/>
      <c r="O72" s="23">
        <f t="shared" si="1"/>
        <v>0</v>
      </c>
      <c r="R72" s="22" t="s">
        <v>73</v>
      </c>
    </row>
    <row r="73" spans="1:16384">
      <c r="A73" s="103" t="s">
        <v>177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8"/>
      <c r="L75" s="172"/>
      <c r="M75" s="108"/>
      <c r="N75" s="108"/>
      <c r="O75" s="69" t="s">
        <v>102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8"/>
      <c r="L76" s="172"/>
      <c r="M76" s="108"/>
      <c r="N76" s="108"/>
      <c r="O76" s="69" t="s">
        <v>103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8"/>
      <c r="L77" s="172"/>
      <c r="M77" s="108"/>
      <c r="N77" s="108"/>
      <c r="O77" s="69" t="s">
        <v>104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6">
        <f>VLOOKUP(O78,АО,3,FALSE)</f>
        <v>0</v>
      </c>
      <c r="K78" s="108"/>
      <c r="L78" s="172"/>
      <c r="M78" s="108"/>
      <c r="N78" s="108"/>
      <c r="O78" s="69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6">
        <f t="shared" ref="J81:J90" si="2">VLOOKUP(O81,АО,3,FALSE)</f>
        <v>0</v>
      </c>
      <c r="K81" s="108"/>
      <c r="L81" s="158"/>
      <c r="M81" s="108"/>
      <c r="N81" s="108"/>
      <c r="O81" s="69" t="s">
        <v>106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6">
        <f t="shared" si="2"/>
        <v>0</v>
      </c>
      <c r="K82" s="108"/>
      <c r="L82" s="158"/>
      <c r="M82" s="108"/>
      <c r="N82" s="108"/>
      <c r="O82" s="69" t="s">
        <v>107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6">
        <f t="shared" si="2"/>
        <v>35050.480000000003</v>
      </c>
      <c r="K83" s="108"/>
      <c r="L83" s="158"/>
      <c r="M83" s="108"/>
      <c r="N83" s="108"/>
      <c r="O83" s="69" t="s">
        <v>108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6">
        <f t="shared" si="2"/>
        <v>0</v>
      </c>
      <c r="K84" s="108"/>
      <c r="L84" s="158"/>
      <c r="M84" s="108"/>
      <c r="N84" s="108"/>
      <c r="O84" s="69" t="s">
        <v>109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6">
        <f t="shared" si="2"/>
        <v>0</v>
      </c>
      <c r="K85" s="108"/>
      <c r="L85" s="158"/>
      <c r="M85" s="108"/>
      <c r="N85" s="108"/>
      <c r="O85" s="69" t="s">
        <v>110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6">
        <f t="shared" si="2"/>
        <v>25702.51</v>
      </c>
      <c r="K86" s="108"/>
      <c r="L86" s="158"/>
      <c r="M86" s="108"/>
      <c r="N86" s="108"/>
      <c r="O86" s="69" t="s">
        <v>111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8"/>
      <c r="L87" s="158"/>
      <c r="M87" s="108"/>
      <c r="N87" s="108"/>
      <c r="O87" s="69" t="s">
        <v>112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8"/>
      <c r="L88" s="158"/>
      <c r="M88" s="108"/>
      <c r="N88" s="108"/>
      <c r="O88" s="69" t="s">
        <v>113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8"/>
      <c r="L89" s="158"/>
      <c r="M89" s="108"/>
      <c r="N89" s="108"/>
      <c r="O89" s="69" t="s">
        <v>114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6">
        <f t="shared" si="2"/>
        <v>0</v>
      </c>
      <c r="K90" s="108"/>
      <c r="L90" s="158"/>
      <c r="M90" s="108"/>
      <c r="N90" s="108"/>
      <c r="O90" s="69" t="s">
        <v>115</v>
      </c>
    </row>
    <row r="91" spans="1:15">
      <c r="A91" s="103" t="s">
        <v>177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08"/>
      <c r="L93" s="108"/>
      <c r="M93" s="108"/>
      <c r="N93" s="108"/>
    </row>
    <row r="94" spans="1:15" hidden="1" outlineLevel="1">
      <c r="A94" s="154">
        <f>IF(VLOOKUP("эл",АО,3,FALSE)&gt;0,"Электроснабжение",0)</f>
        <v>0</v>
      </c>
      <c r="B94" s="154"/>
      <c r="C94" s="154"/>
      <c r="D94" s="155">
        <f>IF(VLOOKUP("эл",АО,3,FALSE)&gt;0,VLOOKUP("эл",АО,3,FALSE),0)</f>
        <v>0</v>
      </c>
      <c r="E94" s="155"/>
      <c r="F94" s="13">
        <f>IF(VLOOKUP("эл",АО,3,FALSE)&gt;0,VLOOKUP("эл",АО,4,FALSE),0)</f>
        <v>0</v>
      </c>
      <c r="G94" s="156">
        <f>VLOOKUP("эл",АО,5,FALSE)</f>
        <v>0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hidden="1" outlineLevel="2">
      <c r="A95" s="171">
        <f>IF(VLOOKUP("эл",АО,3,FALSE)&gt;0,VLOOKUP("эл1",АО,2,FALSE),0)</f>
        <v>0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0</v>
      </c>
      <c r="L95" s="159"/>
      <c r="O95" s="1" t="s">
        <v>116</v>
      </c>
    </row>
    <row r="96" spans="1:15" hidden="1" outlineLevel="2">
      <c r="A96" s="171">
        <f>IF(VLOOKUP("эл",АО,3,FALSE)&gt;0,VLOOKUP("эл2",АО,2,FALSE),0)</f>
        <v>0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0</v>
      </c>
      <c r="L96" s="159"/>
      <c r="O96" s="1" t="s">
        <v>117</v>
      </c>
    </row>
    <row r="97" spans="1:15" hidden="1" outlineLevel="2">
      <c r="A97" s="171">
        <f>IF(VLOOKUP("эл",АО,3,FALSE)&gt;0,VLOOKUP("эл3",АО,2,FALSE),0)</f>
        <v>0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59"/>
      <c r="O97" s="1" t="s">
        <v>118</v>
      </c>
    </row>
    <row r="98" spans="1:15" ht="37.5" hidden="1" customHeight="1" outlineLevel="2">
      <c r="A98" s="171">
        <f>IF(VLOOKUP("эл",АО,3,FALSE)&gt;0,VLOOKUP("эл4",АО,2,FALSE),0)</f>
        <v>0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0</v>
      </c>
      <c r="L98" s="159"/>
      <c r="O98" s="1" t="s">
        <v>119</v>
      </c>
    </row>
    <row r="99" spans="1:15" hidden="1" outlineLevel="2">
      <c r="A99" s="171">
        <f>IF(VLOOKUP("эл",АО,3,FALSE)&gt;0,VLOOKUP("эл5",АО,2,FALSE),0)</f>
        <v>0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0</v>
      </c>
      <c r="L99" s="159"/>
      <c r="O99" s="1" t="s">
        <v>120</v>
      </c>
    </row>
    <row r="100" spans="1:15" ht="39" hidden="1" customHeight="1" outlineLevel="2">
      <c r="A100" s="171">
        <f>IF(VLOOKUP("эл",АО,3,FALSE)&gt;0,VLOOKUP("эл6",АО,2,FALSE),0)</f>
        <v>0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121</v>
      </c>
    </row>
    <row r="101" spans="1:15" ht="34.5" hidden="1" customHeight="1" outlineLevel="2">
      <c r="A101" s="171">
        <f>IF(VLOOKUP("эл",АО,3,FALSE)&gt;0,VLOOKUP("эл7",АО,2,FALSE),0)</f>
        <v>0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122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83175.37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5708.67</v>
      </c>
      <c r="L103" s="159"/>
      <c r="O103" s="1" t="s">
        <v>125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87784.94</v>
      </c>
      <c r="L104" s="159"/>
      <c r="O104" s="1" t="s">
        <v>126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59"/>
      <c r="O105" s="1" t="s">
        <v>127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83175.37</v>
      </c>
      <c r="L106" s="159"/>
      <c r="O106" s="1" t="s">
        <v>128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83175.37</v>
      </c>
      <c r="L107" s="159"/>
      <c r="O107" s="1" t="s">
        <v>129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130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131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101916.65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5754.75</v>
      </c>
      <c r="L111" s="159"/>
      <c r="O111" s="1" t="s">
        <v>133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106655.05</v>
      </c>
      <c r="L112" s="159"/>
      <c r="O112" s="1" t="s">
        <v>134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0</v>
      </c>
      <c r="L113" s="159"/>
      <c r="O113" s="1" t="s">
        <v>135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101916.65</v>
      </c>
      <c r="L114" s="159"/>
      <c r="O114" s="1" t="s">
        <v>136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101916.65</v>
      </c>
      <c r="L115" s="159"/>
      <c r="O115" s="1" t="s">
        <v>137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138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139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6">
        <f>VLOOKUP("тко",АО,5,FALSE)</f>
        <v>0</v>
      </c>
      <c r="H118" s="155"/>
      <c r="I118" s="155"/>
      <c r="J118" s="155"/>
      <c r="L118" s="47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7"/>
      <c r="O119" s="1" t="s">
        <v>141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0</v>
      </c>
      <c r="L120" s="47"/>
      <c r="O120" s="1" t="s">
        <v>142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7"/>
      <c r="O121" s="1" t="s">
        <v>143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7"/>
      <c r="O122" s="1" t="s">
        <v>144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7"/>
      <c r="O123" s="1" t="s">
        <v>145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7"/>
      <c r="O124" s="1" t="s">
        <v>146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7"/>
      <c r="O125" s="1" t="s">
        <v>147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6">
        <f>VLOOKUP("гвс",АО,5,FALSE)</f>
        <v>0</v>
      </c>
      <c r="H126" s="155"/>
      <c r="I126" s="155"/>
      <c r="J126" s="155"/>
      <c r="L126" s="47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7"/>
      <c r="O127" s="1" t="s">
        <v>149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7"/>
      <c r="O128" s="1" t="s">
        <v>150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7"/>
      <c r="O129" s="1" t="s">
        <v>151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7"/>
      <c r="O130" s="1" t="s">
        <v>152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7"/>
      <c r="O131" s="1" t="s">
        <v>153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7"/>
      <c r="O132" s="1" t="s">
        <v>154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7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7"/>
      <c r="O135" s="1" t="s">
        <v>157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7"/>
      <c r="O136" s="1" t="s">
        <v>158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7"/>
      <c r="O138" s="1" t="s">
        <v>160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7"/>
      <c r="O139" s="1" t="s">
        <v>161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7"/>
      <c r="O141" s="1" t="s">
        <v>163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173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50" t="s">
        <v>176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21500</v>
      </c>
      <c r="O146" t="s">
        <v>175</v>
      </c>
    </row>
    <row r="149" spans="1:15" ht="52.5" customHeight="1">
      <c r="A149" s="175" t="s">
        <v>68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7" t="s">
        <v>201</v>
      </c>
      <c r="B154" s="177"/>
      <c r="C154" s="177"/>
      <c r="D154" s="177"/>
      <c r="E154" s="27">
        <f>ПТО!G1</f>
        <v>-348895.42</v>
      </c>
    </row>
    <row r="155" spans="1:15" ht="34.5" customHeight="1">
      <c r="A155" s="176" t="s">
        <v>200</v>
      </c>
      <c r="B155" s="176"/>
      <c r="C155" s="176"/>
      <c r="D155" s="176"/>
      <c r="E155" s="28">
        <f>J13</f>
        <v>166914.36000000002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обслуживание системы видеонаблюдения.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5240</v>
      </c>
      <c r="G158" s="157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73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52" t="str">
        <f t="shared" si="14"/>
        <v>Техническое освидетельствование лифта.</v>
      </c>
      <c r="B159" s="152"/>
      <c r="C159" s="152"/>
      <c r="D159" s="152"/>
      <c r="E159" s="152"/>
      <c r="F159" s="157">
        <f t="shared" si="15"/>
        <v>8100</v>
      </c>
      <c r="G159" s="157"/>
      <c r="H159" s="24" t="str">
        <f t="shared" si="16"/>
        <v>ежегодно</v>
      </c>
      <c r="I159" s="153">
        <f t="shared" si="17"/>
        <v>1</v>
      </c>
      <c r="J159" s="153"/>
      <c r="M159" s="22" t="s">
        <v>73</v>
      </c>
      <c r="N159" s="1" t="str">
        <v>Техническое освидетельствование лифта.</v>
      </c>
    </row>
    <row r="160" spans="1:15" ht="28.5" customHeight="1">
      <c r="A160" s="152" t="str">
        <f t="shared" si="14"/>
        <v>Механизированная уборка и вывоз снега с придомовой территории.</v>
      </c>
      <c r="B160" s="152"/>
      <c r="C160" s="152"/>
      <c r="D160" s="152"/>
      <c r="E160" s="152"/>
      <c r="F160" s="157">
        <f t="shared" si="15"/>
        <v>22940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73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2" t="str">
        <f>IF(N161&gt;0,N161,0)</f>
        <v>Монтаж системы видеонаблюдения.</v>
      </c>
      <c r="B161" s="152"/>
      <c r="C161" s="152"/>
      <c r="D161" s="152"/>
      <c r="E161" s="152"/>
      <c r="F161" s="157">
        <f t="shared" si="15"/>
        <v>144924.5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73</v>
      </c>
      <c r="N161" s="1" t="str">
        <v>Монтаж системы видеонаблюдения.</v>
      </c>
    </row>
    <row r="162" spans="1:14" ht="28.5" customHeight="1">
      <c r="A162" s="152" t="str">
        <f t="shared" si="14"/>
        <v>Приобретение и замена шаровых кранов (Ду 65), манометров (10 шт.) и термометров (6 шт.).</v>
      </c>
      <c r="B162" s="152"/>
      <c r="C162" s="152"/>
      <c r="D162" s="152"/>
      <c r="E162" s="152"/>
      <c r="F162" s="157">
        <f t="shared" si="15"/>
        <v>8497.0999999999985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73</v>
      </c>
      <c r="N162" s="1" t="str">
        <v>Приобретение и замена шаровых кранов (Ду 65), манометров (10 шт.) и термометров (6 шт.).</v>
      </c>
    </row>
    <row r="163" spans="1:14" ht="28.5" customHeight="1">
      <c r="A163" s="152" t="str">
        <f t="shared" si="14"/>
        <v>Приобретение и замена предохранительных клапанов в ИТП (4 шт.).</v>
      </c>
      <c r="B163" s="152"/>
      <c r="C163" s="152"/>
      <c r="D163" s="152"/>
      <c r="E163" s="152"/>
      <c r="F163" s="157">
        <f t="shared" si="15"/>
        <v>1340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73</v>
      </c>
      <c r="N163" s="1" t="str">
        <v>Приобретение и замена предохранительных клапанов в ИТП (4 шт.).</v>
      </c>
    </row>
    <row r="164" spans="1:14" ht="28.5" customHeight="1">
      <c r="A164" s="152" t="str">
        <f t="shared" ref="A164:A187" si="18">IF(N164&gt;0,N164,0)</f>
        <v>Приобретение и замена регистратора системы видеонаблюдения.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6909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73</v>
      </c>
      <c r="N164" s="1" t="str">
        <v>Приобретение и замена регистратора системы видеонаблюдения.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7">
        <f t="shared" si="19"/>
        <v>0</v>
      </c>
      <c r="G165" s="157"/>
      <c r="H165" s="29" t="e">
        <f t="shared" si="16"/>
        <v>#N/A</v>
      </c>
      <c r="I165" s="153" t="e">
        <f t="shared" si="20"/>
        <v>#N/A</v>
      </c>
      <c r="J165" s="153"/>
      <c r="M165" s="22" t="s">
        <v>73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7">
        <f t="shared" si="19"/>
        <v>0</v>
      </c>
      <c r="G166" s="157"/>
      <c r="H166" s="29" t="e">
        <f t="shared" si="16"/>
        <v>#N/A</v>
      </c>
      <c r="I166" s="153" t="e">
        <f t="shared" si="20"/>
        <v>#N/A</v>
      </c>
      <c r="J166" s="153"/>
      <c r="M166" s="22" t="s">
        <v>73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73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73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73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73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73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73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73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73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73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73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73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73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73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73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73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73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73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73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73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73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73</v>
      </c>
      <c r="N187" s="1">
        <v>0</v>
      </c>
    </row>
    <row r="188" spans="1:14" ht="29.25" customHeight="1">
      <c r="A188" s="103" t="s">
        <v>177</v>
      </c>
    </row>
    <row r="189" spans="1:14" ht="29.25" customHeight="1">
      <c r="A189" s="103" t="s">
        <v>177</v>
      </c>
    </row>
    <row r="190" spans="1:14" ht="36.75" customHeight="1">
      <c r="A190" s="177" t="s">
        <v>199</v>
      </c>
      <c r="B190" s="177"/>
      <c r="C190" s="177"/>
      <c r="D190" s="177"/>
      <c r="E190" s="27">
        <f>SUM(F158:G187)</f>
        <v>197950.6</v>
      </c>
    </row>
    <row r="191" spans="1:14" ht="51.75" customHeight="1">
      <c r="A191" s="177" t="s">
        <v>198</v>
      </c>
      <c r="B191" s="177"/>
      <c r="C191" s="177"/>
      <c r="D191" s="177"/>
      <c r="E191" s="27">
        <f>E190+E154-E155</f>
        <v>-317859.18</v>
      </c>
    </row>
    <row r="192" spans="1:14">
      <c r="A192" s="103" t="s">
        <v>177</v>
      </c>
    </row>
    <row r="193" spans="1:10" ht="62.25" customHeight="1">
      <c r="A193" s="151" t="s">
        <v>197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48">
        <f>ПТО!G12</f>
        <v>1200</v>
      </c>
      <c r="I194" s="49" t="s">
        <v>76</v>
      </c>
    </row>
    <row r="195" spans="1:10" ht="18.75" customHeight="1">
      <c r="A195" s="149" t="str">
        <f>ПТО!F13</f>
        <v xml:space="preserve">  -  техническое освидетельствование лифта</v>
      </c>
      <c r="B195" s="149"/>
      <c r="C195" s="149"/>
      <c r="D195" s="149"/>
      <c r="E195" s="149"/>
      <c r="F195" s="149"/>
      <c r="G195" s="149"/>
      <c r="H195" s="48">
        <f>ПТО!G13</f>
        <v>8100</v>
      </c>
      <c r="I195" s="49" t="s">
        <v>76</v>
      </c>
    </row>
    <row r="196" spans="1:10" ht="18.75" customHeight="1">
      <c r="A196" s="149" t="str">
        <f>ПТО!F14</f>
        <v xml:space="preserve">  -  техническое обслуживание системы видеонаблюдения</v>
      </c>
      <c r="B196" s="149"/>
      <c r="C196" s="149"/>
      <c r="D196" s="149"/>
      <c r="E196" s="149"/>
      <c r="F196" s="149"/>
      <c r="G196" s="149"/>
      <c r="H196" s="48">
        <f>ПТО!G14</f>
        <v>5240</v>
      </c>
      <c r="I196" s="49" t="s">
        <v>76</v>
      </c>
    </row>
    <row r="197" spans="1:10" ht="18.75" customHeight="1">
      <c r="A197" s="149" t="str">
        <f>ПТО!F15</f>
        <v xml:space="preserve">  -  ремонт подъезда</v>
      </c>
      <c r="B197" s="149"/>
      <c r="C197" s="149"/>
      <c r="D197" s="149"/>
      <c r="E197" s="149"/>
      <c r="F197" s="149"/>
      <c r="G197" s="149"/>
      <c r="H197" s="48">
        <f>ПТО!G15</f>
        <v>300000</v>
      </c>
      <c r="I197" s="49" t="s">
        <v>76</v>
      </c>
    </row>
    <row r="198" spans="1:10" ht="18.75" customHeight="1">
      <c r="A198" s="149" t="str">
        <f>ПТО!F16</f>
        <v xml:space="preserve">  -  механизированная уборка и вывоз снега с придомовой территории</v>
      </c>
      <c r="B198" s="149"/>
      <c r="C198" s="149"/>
      <c r="D198" s="149"/>
      <c r="E198" s="149"/>
      <c r="F198" s="149"/>
      <c r="G198" s="149"/>
      <c r="H198" s="48">
        <f>ПТО!G16</f>
        <v>25000</v>
      </c>
      <c r="I198" s="51" t="s">
        <v>76</v>
      </c>
    </row>
    <row r="199" spans="1:10" ht="18.75" customHeight="1">
      <c r="A199" s="149" t="str">
        <f>ПТО!F17</f>
        <v xml:space="preserve">  -  монтаж резинового покрытия крыльца</v>
      </c>
      <c r="B199" s="149"/>
      <c r="C199" s="149"/>
      <c r="D199" s="149"/>
      <c r="E199" s="149"/>
      <c r="F199" s="149"/>
      <c r="G199" s="149"/>
      <c r="H199" s="48">
        <f>ПТО!G17</f>
        <v>20000</v>
      </c>
      <c r="I199" s="49" t="s">
        <v>76</v>
      </c>
    </row>
    <row r="200" spans="1:10">
      <c r="A200" s="149" t="str">
        <f>ПТО!F18</f>
        <v xml:space="preserve">  -  замена кранов шаровых на стояках систем ГВС и ХВС</v>
      </c>
      <c r="B200" s="149"/>
      <c r="C200" s="149"/>
      <c r="D200" s="149"/>
      <c r="E200" s="149"/>
      <c r="F200" s="149"/>
      <c r="G200" s="149"/>
      <c r="H200" s="48">
        <f>ПТО!G18</f>
        <v>20000</v>
      </c>
      <c r="I200" s="49" t="s">
        <v>76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48">
        <f>ПТО!G19</f>
        <v>0</v>
      </c>
      <c r="I201" s="49" t="s">
        <v>76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48">
        <f>ПТО!G20</f>
        <v>0</v>
      </c>
      <c r="I202" s="49" t="s">
        <v>76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48">
        <f>ПТО!G21</f>
        <v>0</v>
      </c>
      <c r="I203" s="49" t="s">
        <v>76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48">
        <f>ПТО!G22</f>
        <v>0</v>
      </c>
      <c r="I204" s="49" t="s">
        <v>76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48">
        <f>ПТО!G23</f>
        <v>0</v>
      </c>
      <c r="I205" s="49" t="s">
        <v>76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48">
        <f>ПТО!G24</f>
        <v>0</v>
      </c>
      <c r="I206" s="49" t="s">
        <v>76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48">
        <f>ПТО!G25</f>
        <v>0</v>
      </c>
      <c r="I207" s="49" t="s">
        <v>76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48">
        <f>ПТО!G26</f>
        <v>0</v>
      </c>
      <c r="I208" s="49" t="s">
        <v>76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48">
        <f>ПТО!G27</f>
        <v>0</v>
      </c>
      <c r="I209" s="49" t="s">
        <v>76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48">
        <f>ПТО!G28</f>
        <v>0</v>
      </c>
      <c r="I210" s="49" t="s">
        <v>76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48">
        <f>ПТО!G29</f>
        <v>0</v>
      </c>
      <c r="I211" s="49" t="s">
        <v>76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48">
        <f>ПТО!G30</f>
        <v>0</v>
      </c>
      <c r="I212" s="49" t="s">
        <v>76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48">
        <f>ПТО!G31</f>
        <v>0</v>
      </c>
      <c r="I213" s="49" t="s">
        <v>76</v>
      </c>
    </row>
    <row r="214" spans="1:9">
      <c r="A214" s="52" t="s">
        <v>79</v>
      </c>
      <c r="B214" s="53"/>
      <c r="C214" s="53"/>
      <c r="D214" s="53"/>
      <c r="E214" s="53"/>
      <c r="F214" s="53"/>
      <c r="G214" s="53"/>
      <c r="H214" s="54">
        <f>SUM(H194:H213)</f>
        <v>379540</v>
      </c>
      <c r="I214" s="55" t="s">
        <v>80</v>
      </c>
    </row>
  </sheetData>
  <sheetProtection algorithmName="SHA-512" hashValue="VmtSpCtu5gw10KRtTZf89CwknW7TH0Eg8lzM6IdXaOW4qfWR81bE4c3eFupqlOaqt8uPLPVe1bRmDCV5eG04jA==" saltValue="28bhEDM8MVMV7E7HkO1oa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201</v>
      </c>
      <c r="G1" s="100">
        <f>-348895.42</f>
        <v>-348895.42</v>
      </c>
    </row>
    <row r="2" spans="1:12" ht="18.75" customHeight="1">
      <c r="A2" s="126" t="s">
        <v>180</v>
      </c>
      <c r="B2" s="127" t="s">
        <v>181</v>
      </c>
      <c r="C2" s="128">
        <v>12</v>
      </c>
      <c r="D2" s="129">
        <f>2620*12/6</f>
        <v>5240</v>
      </c>
      <c r="E2" s="122"/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74</v>
      </c>
      <c r="B3" s="131" t="s">
        <v>182</v>
      </c>
      <c r="C3" s="131">
        <v>1</v>
      </c>
      <c r="D3" s="132">
        <v>8100</v>
      </c>
      <c r="E3" s="122"/>
      <c r="F3" s="30"/>
      <c r="G3" s="30"/>
      <c r="L3" s="33" t="str">
        <f t="shared" si="0"/>
        <v>ТР</v>
      </c>
    </row>
    <row r="4" spans="1:12" ht="18.75" customHeight="1">
      <c r="A4" s="133" t="s">
        <v>193</v>
      </c>
      <c r="B4" s="134" t="s">
        <v>192</v>
      </c>
      <c r="C4" s="135">
        <v>1</v>
      </c>
      <c r="D4" s="132">
        <v>22940</v>
      </c>
      <c r="E4" s="142" t="s">
        <v>207</v>
      </c>
      <c r="F4" s="30"/>
      <c r="G4" s="30"/>
      <c r="L4" s="33" t="str">
        <f t="shared" si="0"/>
        <v>ТР</v>
      </c>
    </row>
    <row r="5" spans="1:12" ht="18.75" customHeight="1">
      <c r="A5" s="137" t="s">
        <v>202</v>
      </c>
      <c r="B5" s="138" t="s">
        <v>192</v>
      </c>
      <c r="C5" s="135">
        <v>1</v>
      </c>
      <c r="D5" s="136">
        <v>144924.5</v>
      </c>
      <c r="E5" s="137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48" t="s">
        <v>211</v>
      </c>
      <c r="B6" s="139" t="s">
        <v>192</v>
      </c>
      <c r="C6" s="135">
        <v>1</v>
      </c>
      <c r="D6" s="136">
        <f>2507.48+4368+1621.62</f>
        <v>8497.0999999999985</v>
      </c>
      <c r="E6" s="122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206</v>
      </c>
      <c r="B7" s="141" t="s">
        <v>192</v>
      </c>
      <c r="C7" s="135">
        <v>1</v>
      </c>
      <c r="D7" s="136">
        <v>1340</v>
      </c>
      <c r="E7" s="122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43" t="s">
        <v>208</v>
      </c>
      <c r="B8" s="144" t="s">
        <v>192</v>
      </c>
      <c r="C8" s="135">
        <v>1</v>
      </c>
      <c r="D8" s="136">
        <v>6909</v>
      </c>
      <c r="E8" s="122" t="s">
        <v>209</v>
      </c>
      <c r="F8" s="45"/>
      <c r="G8" s="45"/>
      <c r="K8" s="43"/>
      <c r="L8" s="33" t="str">
        <f t="shared" si="0"/>
        <v>ТР</v>
      </c>
    </row>
    <row r="9" spans="1:12">
      <c r="A9" s="145"/>
      <c r="B9" s="146"/>
      <c r="C9" s="147"/>
      <c r="D9" s="43"/>
      <c r="E9" s="145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0" t="s">
        <v>197</v>
      </c>
      <c r="G11" s="110"/>
      <c r="L11" s="33">
        <f t="shared" si="0"/>
        <v>0</v>
      </c>
    </row>
    <row r="12" spans="1:12" ht="31.5">
      <c r="A12" s="30"/>
      <c r="F12" s="111" t="s">
        <v>75</v>
      </c>
      <c r="G12" s="112">
        <v>1200</v>
      </c>
      <c r="L12" s="33">
        <f t="shared" si="0"/>
        <v>0</v>
      </c>
    </row>
    <row r="13" spans="1:12" ht="31.5">
      <c r="A13" s="30"/>
      <c r="F13" s="111" t="s">
        <v>77</v>
      </c>
      <c r="G13" s="112">
        <v>8100</v>
      </c>
      <c r="L13" s="33">
        <f t="shared" si="0"/>
        <v>0</v>
      </c>
    </row>
    <row r="14" spans="1:12" ht="31.5">
      <c r="A14" s="30"/>
      <c r="F14" s="111" t="s">
        <v>78</v>
      </c>
      <c r="G14" s="113">
        <v>5240</v>
      </c>
      <c r="L14" s="33">
        <f t="shared" si="0"/>
        <v>0</v>
      </c>
    </row>
    <row r="15" spans="1:12" ht="15.75">
      <c r="A15" s="30"/>
      <c r="F15" s="111" t="s">
        <v>191</v>
      </c>
      <c r="G15" s="112">
        <v>300000</v>
      </c>
      <c r="L15" s="33">
        <f t="shared" si="0"/>
        <v>0</v>
      </c>
    </row>
    <row r="16" spans="1:12" ht="15.75">
      <c r="A16" s="30"/>
      <c r="F16" s="125" t="s">
        <v>195</v>
      </c>
      <c r="G16" s="113">
        <v>25000</v>
      </c>
      <c r="L16" s="33">
        <f t="shared" si="0"/>
        <v>0</v>
      </c>
    </row>
    <row r="17" spans="1:12" ht="15.75">
      <c r="A17" s="30"/>
      <c r="F17" s="125" t="s">
        <v>196</v>
      </c>
      <c r="G17" s="113">
        <v>20000</v>
      </c>
      <c r="L17" s="33">
        <f t="shared" si="0"/>
        <v>0</v>
      </c>
    </row>
    <row r="18" spans="1:12" ht="31.5">
      <c r="A18" s="30"/>
      <c r="F18" s="111" t="s">
        <v>210</v>
      </c>
      <c r="G18" s="112">
        <v>20000</v>
      </c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20">
        <v>161280.12</v>
      </c>
      <c r="C39" s="38" t="s">
        <v>69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161280.12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20">
        <v>67963.08</v>
      </c>
      <c r="C40" s="38" t="s">
        <v>69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67963.08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45426.12</v>
      </c>
      <c r="C41" s="38" t="s">
        <v>70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45426.12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0">
        <v>42256.800000000003</v>
      </c>
      <c r="C42" s="38" t="s">
        <v>69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42256.800000000003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0">
        <v>12324.96</v>
      </c>
      <c r="C44" s="38" t="s">
        <v>71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12324.96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46834.68</v>
      </c>
      <c r="C45" s="38" t="s">
        <v>70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46834.68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194</v>
      </c>
      <c r="B46" s="124">
        <v>176070</v>
      </c>
      <c r="C46" s="38" t="s">
        <v>69</v>
      </c>
      <c r="D46" s="39">
        <v>12</v>
      </c>
      <c r="L46" s="40" t="str">
        <f t="shared" si="2"/>
        <v>СОД</v>
      </c>
      <c r="M46" t="str">
        <f t="shared" si="3"/>
        <v>Услуги  и работы по управлению МКД</v>
      </c>
      <c r="N46" s="41" t="e">
        <f>#REF!</f>
        <v>#REF!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17"/>
      <c r="C47" s="118"/>
      <c r="D47" s="119"/>
      <c r="E47" s="117">
        <v>469</v>
      </c>
      <c r="F47" s="117">
        <v>446.2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20"/>
      <c r="C48" s="118"/>
      <c r="D48" s="11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1" t="s">
        <v>184</v>
      </c>
      <c r="F52" s="121" t="s">
        <v>185</v>
      </c>
      <c r="G52" s="121" t="s">
        <v>186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1">
        <v>35.896999999999998</v>
      </c>
      <c r="F53" s="117">
        <v>3007.6</v>
      </c>
      <c r="G53" s="121">
        <v>3.48</v>
      </c>
      <c r="H53" s="121">
        <f>G53*E47/F53</f>
        <v>0.54266524803830296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1"/>
      <c r="F54" s="121" t="s">
        <v>187</v>
      </c>
      <c r="G54" s="121" t="s">
        <v>188</v>
      </c>
      <c r="H54" s="121">
        <f>H53*G56</f>
        <v>29.303923394068359</v>
      </c>
    </row>
    <row r="55" spans="5:16">
      <c r="E55" s="121"/>
      <c r="F55" s="121">
        <v>1.17</v>
      </c>
      <c r="G55" s="121">
        <v>1.23</v>
      </c>
      <c r="H55" s="121"/>
    </row>
    <row r="56" spans="5:16">
      <c r="E56" s="121"/>
      <c r="F56" s="121"/>
      <c r="G56" s="121">
        <v>54</v>
      </c>
      <c r="H56" s="121"/>
    </row>
    <row r="57" spans="5:16">
      <c r="E57" s="121"/>
      <c r="F57" s="121"/>
      <c r="G57" s="121"/>
      <c r="H57" s="121"/>
    </row>
    <row r="58" spans="5:16">
      <c r="E58" s="121" t="s">
        <v>189</v>
      </c>
      <c r="F58" s="121"/>
      <c r="G58" s="121"/>
      <c r="H58" s="121"/>
    </row>
    <row r="59" spans="5:16">
      <c r="E59" s="121">
        <v>0.59599999999999997</v>
      </c>
      <c r="F59" s="117">
        <f>F53</f>
        <v>3007.6</v>
      </c>
      <c r="G59" s="121">
        <v>7.4999999999999997E-2</v>
      </c>
      <c r="H59" s="121">
        <f>G59*F47</f>
        <v>33.464999999999996</v>
      </c>
    </row>
    <row r="60" spans="5:16">
      <c r="E60" s="121"/>
      <c r="F60" s="121" t="s">
        <v>187</v>
      </c>
      <c r="G60" s="121" t="s">
        <v>188</v>
      </c>
      <c r="H60" s="121">
        <f>H59/F59</f>
        <v>1.1126812076073946E-2</v>
      </c>
    </row>
    <row r="61" spans="5:16">
      <c r="E61" s="121"/>
      <c r="F61" s="121">
        <v>12.94</v>
      </c>
      <c r="G61" s="121">
        <v>13.45</v>
      </c>
      <c r="H61" s="121">
        <f>H60*G56</f>
        <v>0.60084785210799307</v>
      </c>
    </row>
    <row r="62" spans="5:16">
      <c r="E62" s="121" t="s">
        <v>190</v>
      </c>
      <c r="F62" s="121"/>
      <c r="G62" s="121"/>
      <c r="H62" s="121"/>
    </row>
    <row r="63" spans="5:16">
      <c r="E63" s="121">
        <v>0.59599999999999997</v>
      </c>
      <c r="F63" s="117">
        <f>F53</f>
        <v>3007.6</v>
      </c>
      <c r="G63" s="121">
        <v>7.4999999999999997E-2</v>
      </c>
      <c r="H63" s="121">
        <f>G63*F47</f>
        <v>33.464999999999996</v>
      </c>
    </row>
    <row r="64" spans="5:16">
      <c r="E64" s="121"/>
      <c r="F64" s="121" t="s">
        <v>187</v>
      </c>
      <c r="G64" s="121" t="s">
        <v>188</v>
      </c>
      <c r="H64" s="121">
        <f>H63/F63</f>
        <v>1.1126812076073946E-2</v>
      </c>
    </row>
    <row r="65" spans="4:13" ht="18.75" customHeight="1">
      <c r="E65" s="121"/>
      <c r="F65" s="121">
        <v>15.73</v>
      </c>
      <c r="G65" s="121">
        <v>16.350000000000001</v>
      </c>
      <c r="H65" s="121">
        <f>H64*G56</f>
        <v>0.60084785210799307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94F6g/KBcpODd1I9aT07Swi+6KJ3RuCafzpfpz3sLP1BKeeqSaGGj7w1d7sNEjsJHnlGG+VKwEtfvPWcg4pOgA==" saltValue="FKzxT8M2ygcaaefgIsMqg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183</v>
      </c>
      <c r="F1" s="59">
        <v>2934.5</v>
      </c>
    </row>
    <row r="2" spans="1:10" ht="15.75" customHeight="1">
      <c r="A2" s="69" t="s">
        <v>85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86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87</v>
      </c>
      <c r="B4" s="71" t="s">
        <v>4</v>
      </c>
      <c r="C4" s="82">
        <v>173383.09</v>
      </c>
      <c r="D4" s="80" t="s">
        <v>60</v>
      </c>
      <c r="E4" s="60"/>
      <c r="G4" s="60"/>
      <c r="H4" s="60"/>
      <c r="I4" s="60"/>
      <c r="J4" s="60"/>
    </row>
    <row r="5" spans="1:10" ht="15.75" customHeight="1">
      <c r="A5" s="69" t="s">
        <v>88</v>
      </c>
      <c r="B5" s="71" t="s">
        <v>5</v>
      </c>
      <c r="C5" s="78">
        <f>SUM(C6:C8)</f>
        <v>709279.2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89</v>
      </c>
      <c r="B6" s="71" t="s">
        <v>6</v>
      </c>
      <c r="C6" s="82">
        <v>542364.84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90</v>
      </c>
      <c r="B7" s="71" t="s">
        <v>7</v>
      </c>
      <c r="C7" s="82">
        <f>F1*4.74*12</f>
        <v>166914.36000000002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91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92</v>
      </c>
      <c r="B9" s="71" t="s">
        <v>9</v>
      </c>
      <c r="C9" s="78">
        <f>SUM(C10:C14)</f>
        <v>703068.45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93</v>
      </c>
      <c r="B10" s="71" t="s">
        <v>10</v>
      </c>
      <c r="C10" s="82">
        <v>703068.45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94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95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96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97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98</v>
      </c>
      <c r="B15" s="71" t="s">
        <v>15</v>
      </c>
      <c r="C15" s="78">
        <f>C9</f>
        <v>703068.45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99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100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101</v>
      </c>
      <c r="B18" s="71" t="s">
        <v>18</v>
      </c>
      <c r="C18" s="78">
        <f>IF(C16&gt;0,0,IF(C4&gt;0,C4+C5-C9,C5-C2-C9))</f>
        <v>179593.83999999997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164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102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80"/>
      <c r="N20" s="61"/>
    </row>
    <row r="21" spans="1:15" ht="15.75" customHeight="1">
      <c r="A21" s="69" t="s">
        <v>103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80"/>
      <c r="N21" s="61"/>
    </row>
    <row r="22" spans="1:15" ht="15.75" customHeight="1">
      <c r="A22" s="69" t="s">
        <v>104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80"/>
      <c r="N22" s="61"/>
    </row>
    <row r="23" spans="1:15" ht="15.75" customHeight="1">
      <c r="A23" s="69" t="s">
        <v>105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80"/>
      <c r="N23" s="61"/>
    </row>
    <row r="24" spans="1:15" ht="18.75">
      <c r="A24" s="72" t="s">
        <v>165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106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9"/>
      <c r="N25" s="62"/>
    </row>
    <row r="26" spans="1:15" ht="18.75" customHeight="1">
      <c r="A26" s="69" t="s">
        <v>107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9"/>
      <c r="N26" s="62"/>
    </row>
    <row r="27" spans="1:15" ht="18.75" customHeight="1">
      <c r="A27" s="69" t="s">
        <v>108</v>
      </c>
      <c r="B27" s="74" t="s">
        <v>4</v>
      </c>
      <c r="C27" s="85">
        <v>35050.480000000003</v>
      </c>
      <c r="D27" s="80" t="s">
        <v>60</v>
      </c>
      <c r="E27" s="63"/>
      <c r="F27" s="63"/>
      <c r="G27" s="63"/>
      <c r="H27" s="63"/>
      <c r="I27" s="63"/>
      <c r="J27" s="63"/>
      <c r="M27" s="179"/>
      <c r="N27" s="62"/>
    </row>
    <row r="28" spans="1:15" ht="18.75" customHeight="1">
      <c r="A28" s="69" t="s">
        <v>109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79"/>
      <c r="N28" s="62"/>
    </row>
    <row r="29" spans="1:15" ht="18.75" customHeight="1">
      <c r="A29" s="69" t="s">
        <v>110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9"/>
      <c r="N29" s="62"/>
    </row>
    <row r="30" spans="1:15" ht="18.75" customHeight="1">
      <c r="A30" s="69" t="s">
        <v>111</v>
      </c>
      <c r="B30" s="74" t="s">
        <v>18</v>
      </c>
      <c r="C30" s="85">
        <v>25702.51</v>
      </c>
      <c r="D30" s="80" t="s">
        <v>66</v>
      </c>
      <c r="E30" s="63"/>
      <c r="F30" s="63"/>
      <c r="G30" s="63"/>
      <c r="H30" s="63"/>
      <c r="I30" s="63"/>
      <c r="J30" s="63"/>
      <c r="M30" s="179"/>
      <c r="N30" s="62"/>
    </row>
    <row r="31" spans="1:15" ht="18.75" customHeight="1">
      <c r="A31" s="69" t="s">
        <v>112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9"/>
      <c r="N31" s="62"/>
    </row>
    <row r="32" spans="1:15" ht="18.75" customHeight="1">
      <c r="A32" s="69" t="s">
        <v>113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9"/>
      <c r="N32" s="62"/>
    </row>
    <row r="33" spans="1:15" ht="18.75" customHeight="1">
      <c r="A33" s="69" t="s">
        <v>114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9"/>
      <c r="N33" s="62"/>
    </row>
    <row r="34" spans="1:15" ht="18.75" customHeight="1">
      <c r="A34" s="69" t="s">
        <v>115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9"/>
      <c r="N34" s="62"/>
    </row>
    <row r="35" spans="1:15" ht="18.75">
      <c r="A35" s="72" t="s">
        <v>166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167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123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170</v>
      </c>
      <c r="G37" s="65"/>
      <c r="H37" s="65"/>
      <c r="I37" s="65"/>
      <c r="L37" s="62"/>
      <c r="M37" s="178"/>
      <c r="N37" s="62"/>
      <c r="O37" s="62"/>
    </row>
    <row r="38" spans="1:15" ht="18.75" customHeight="1">
      <c r="A38" s="69" t="s">
        <v>116</v>
      </c>
      <c r="B38" s="77" t="s">
        <v>37</v>
      </c>
      <c r="C38" s="89"/>
      <c r="D38" s="93" t="s">
        <v>168</v>
      </c>
      <c r="E38" s="67"/>
      <c r="G38" s="66"/>
      <c r="H38" s="66"/>
      <c r="L38" s="62"/>
      <c r="M38" s="178"/>
      <c r="N38" s="62"/>
      <c r="O38" s="62"/>
    </row>
    <row r="39" spans="1:15" ht="18.75" customHeight="1">
      <c r="A39" s="69" t="s">
        <v>117</v>
      </c>
      <c r="B39" s="77" t="s">
        <v>38</v>
      </c>
      <c r="C39" s="90"/>
      <c r="D39" s="93" t="s">
        <v>169</v>
      </c>
      <c r="E39" s="67"/>
      <c r="G39" s="66"/>
      <c r="H39" s="66"/>
      <c r="L39" s="62"/>
      <c r="M39" s="178"/>
      <c r="N39" s="62"/>
      <c r="O39" s="62"/>
    </row>
    <row r="40" spans="1:15" ht="18.75" customHeight="1">
      <c r="A40" s="69" t="s">
        <v>118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78"/>
      <c r="N40" s="62"/>
      <c r="O40" s="62"/>
    </row>
    <row r="41" spans="1:15" ht="18.75" customHeight="1">
      <c r="A41" s="69" t="s">
        <v>119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178"/>
      <c r="N41" s="62"/>
      <c r="O41" s="62"/>
    </row>
    <row r="42" spans="1:15" ht="18.75" customHeight="1">
      <c r="A42" s="69" t="s">
        <v>120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178"/>
      <c r="N42" s="62"/>
      <c r="O42" s="62"/>
    </row>
    <row r="43" spans="1:15" ht="18.75" customHeight="1">
      <c r="A43" s="69" t="s">
        <v>121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78"/>
      <c r="N43" s="62"/>
      <c r="O43" s="62"/>
    </row>
    <row r="44" spans="1:15" ht="30" customHeight="1">
      <c r="A44" s="69" t="s">
        <v>122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78"/>
      <c r="N44" s="62"/>
      <c r="O44" s="62"/>
    </row>
    <row r="45" spans="1:15" ht="18.75">
      <c r="A45" s="72" t="s">
        <v>124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83175.37</v>
      </c>
      <c r="F45" s="93" t="s">
        <v>170</v>
      </c>
      <c r="G45" s="65"/>
      <c r="H45" s="65"/>
      <c r="L45" s="62"/>
      <c r="M45" s="178"/>
      <c r="N45" s="62"/>
      <c r="O45" s="62"/>
    </row>
    <row r="46" spans="1:15" ht="18.75" customHeight="1">
      <c r="A46" s="72" t="s">
        <v>125</v>
      </c>
      <c r="B46" s="77" t="s">
        <v>37</v>
      </c>
      <c r="C46" s="89">
        <v>5708.67</v>
      </c>
      <c r="D46" s="93" t="s">
        <v>171</v>
      </c>
      <c r="E46" s="67"/>
      <c r="G46" s="66"/>
      <c r="H46" s="66"/>
      <c r="L46" s="62"/>
      <c r="M46" s="178"/>
      <c r="N46" s="62"/>
      <c r="O46" s="62"/>
    </row>
    <row r="47" spans="1:15" ht="18.75" customHeight="1">
      <c r="A47" s="72" t="s">
        <v>126</v>
      </c>
      <c r="B47" s="77" t="s">
        <v>38</v>
      </c>
      <c r="C47" s="90">
        <v>87784.94</v>
      </c>
      <c r="D47" s="93" t="s">
        <v>169</v>
      </c>
      <c r="E47" s="67"/>
      <c r="G47" s="66"/>
      <c r="H47" s="66"/>
      <c r="L47" s="62"/>
      <c r="M47" s="178"/>
      <c r="N47" s="62"/>
      <c r="O47" s="62"/>
    </row>
    <row r="48" spans="1:15" ht="18.75" customHeight="1">
      <c r="A48" s="72" t="s">
        <v>127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78"/>
      <c r="N48" s="62"/>
      <c r="O48" s="62"/>
    </row>
    <row r="49" spans="1:15" ht="18.75" customHeight="1">
      <c r="A49" s="72" t="s">
        <v>128</v>
      </c>
      <c r="B49" s="77" t="s">
        <v>40</v>
      </c>
      <c r="C49" s="92">
        <f>E45</f>
        <v>83175.37</v>
      </c>
      <c r="D49" s="79" t="s">
        <v>59</v>
      </c>
      <c r="E49" s="67"/>
      <c r="G49" s="66"/>
      <c r="H49" s="66"/>
      <c r="L49" s="62"/>
      <c r="M49" s="178"/>
      <c r="N49" s="62"/>
      <c r="O49" s="62"/>
    </row>
    <row r="50" spans="1:15" ht="18.75" customHeight="1">
      <c r="A50" s="72" t="s">
        <v>129</v>
      </c>
      <c r="B50" s="77" t="s">
        <v>41</v>
      </c>
      <c r="C50" s="92">
        <f>E45</f>
        <v>83175.37</v>
      </c>
      <c r="D50" s="79" t="s">
        <v>59</v>
      </c>
      <c r="E50" s="67"/>
      <c r="G50" s="66"/>
      <c r="H50" s="66"/>
      <c r="L50" s="62"/>
      <c r="M50" s="178"/>
      <c r="N50" s="62"/>
      <c r="O50" s="62"/>
    </row>
    <row r="51" spans="1:15" ht="18.75" customHeight="1">
      <c r="A51" s="72" t="s">
        <v>130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78"/>
      <c r="N51" s="62"/>
      <c r="O51" s="62"/>
    </row>
    <row r="52" spans="1:15" ht="29.25" customHeight="1">
      <c r="A52" s="72" t="s">
        <v>131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78"/>
      <c r="N52" s="62"/>
      <c r="O52" s="62"/>
    </row>
    <row r="53" spans="1:15" ht="18.75">
      <c r="A53" s="72" t="s">
        <v>132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101916.65</v>
      </c>
      <c r="F53" s="93" t="s">
        <v>170</v>
      </c>
      <c r="G53" s="65"/>
      <c r="H53" s="65"/>
      <c r="L53" s="62"/>
      <c r="M53" s="178"/>
      <c r="N53" s="62"/>
      <c r="O53" s="62"/>
    </row>
    <row r="54" spans="1:15" ht="18.75" customHeight="1">
      <c r="A54" s="72" t="s">
        <v>133</v>
      </c>
      <c r="B54" s="74" t="s">
        <v>37</v>
      </c>
      <c r="C54" s="97">
        <v>5754.75</v>
      </c>
      <c r="D54" s="93" t="s">
        <v>171</v>
      </c>
      <c r="E54" s="68"/>
      <c r="F54" s="88"/>
      <c r="G54" s="63"/>
      <c r="H54" s="63"/>
      <c r="L54" s="62"/>
      <c r="M54" s="178"/>
      <c r="N54" s="62"/>
      <c r="O54" s="62"/>
    </row>
    <row r="55" spans="1:15" ht="18.75" customHeight="1">
      <c r="A55" s="72" t="s">
        <v>134</v>
      </c>
      <c r="B55" s="74" t="s">
        <v>38</v>
      </c>
      <c r="C55" s="85">
        <v>106655.05</v>
      </c>
      <c r="D55" s="93" t="s">
        <v>169</v>
      </c>
      <c r="E55" s="68"/>
      <c r="G55" s="63"/>
      <c r="H55" s="63"/>
      <c r="L55" s="62"/>
      <c r="M55" s="178"/>
      <c r="N55" s="62"/>
      <c r="O55" s="62"/>
    </row>
    <row r="56" spans="1:15" ht="18.75" customHeight="1">
      <c r="A56" s="72" t="s">
        <v>135</v>
      </c>
      <c r="B56" s="74" t="s">
        <v>39</v>
      </c>
      <c r="C56" s="92">
        <f>IF(E53-C55&lt;0,0,E53-C55)</f>
        <v>0</v>
      </c>
      <c r="D56" s="79" t="s">
        <v>59</v>
      </c>
      <c r="E56" s="123"/>
      <c r="G56" s="63"/>
      <c r="H56" s="63"/>
      <c r="L56" s="62"/>
      <c r="M56" s="178"/>
      <c r="N56" s="62"/>
      <c r="O56" s="62"/>
    </row>
    <row r="57" spans="1:15" ht="18.75" customHeight="1">
      <c r="A57" s="72" t="s">
        <v>136</v>
      </c>
      <c r="B57" s="74" t="s">
        <v>40</v>
      </c>
      <c r="C57" s="92">
        <f>E53</f>
        <v>101916.65</v>
      </c>
      <c r="D57" s="79" t="s">
        <v>59</v>
      </c>
      <c r="E57" s="123"/>
      <c r="G57" s="63"/>
      <c r="H57" s="63"/>
      <c r="L57" s="62"/>
      <c r="M57" s="178"/>
      <c r="N57" s="62"/>
      <c r="O57" s="62"/>
    </row>
    <row r="58" spans="1:15" ht="18.75" customHeight="1">
      <c r="A58" s="72" t="s">
        <v>137</v>
      </c>
      <c r="B58" s="74" t="s">
        <v>41</v>
      </c>
      <c r="C58" s="92">
        <f>E53</f>
        <v>101916.65</v>
      </c>
      <c r="D58" s="79" t="s">
        <v>59</v>
      </c>
      <c r="E58" s="68"/>
      <c r="G58" s="63"/>
      <c r="H58" s="63"/>
      <c r="L58" s="62"/>
      <c r="M58" s="178"/>
      <c r="N58" s="62"/>
      <c r="O58" s="62"/>
    </row>
    <row r="59" spans="1:15" ht="18.75" customHeight="1">
      <c r="A59" s="72" t="s">
        <v>138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78"/>
      <c r="N59" s="62"/>
      <c r="O59" s="62"/>
    </row>
    <row r="60" spans="1:15" ht="33.75" customHeight="1">
      <c r="A60" s="72" t="s">
        <v>139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78"/>
      <c r="N60" s="62"/>
      <c r="O60" s="62"/>
    </row>
    <row r="61" spans="1:15" ht="15.75">
      <c r="A61" s="72" t="s">
        <v>140</v>
      </c>
      <c r="B61" s="76" t="s">
        <v>81</v>
      </c>
      <c r="C61" s="95">
        <f>IF(E61&gt;0,"Предоставляется",0)</f>
        <v>0</v>
      </c>
      <c r="D61" s="95" t="s">
        <v>55</v>
      </c>
      <c r="E61" s="94"/>
      <c r="F61" s="93" t="s">
        <v>170</v>
      </c>
      <c r="G61" s="65"/>
      <c r="H61" s="65"/>
    </row>
    <row r="62" spans="1:15" ht="15.75" customHeight="1">
      <c r="A62" s="72" t="s">
        <v>141</v>
      </c>
      <c r="B62" s="74" t="s">
        <v>37</v>
      </c>
      <c r="C62" s="97"/>
      <c r="D62" s="93" t="s">
        <v>171</v>
      </c>
      <c r="E62" s="68"/>
      <c r="G62" s="63"/>
      <c r="H62" s="63"/>
    </row>
    <row r="63" spans="1:15" ht="15.75" customHeight="1">
      <c r="A63" s="72" t="s">
        <v>142</v>
      </c>
      <c r="B63" s="74" t="s">
        <v>38</v>
      </c>
      <c r="C63" s="85"/>
      <c r="D63" s="93" t="s">
        <v>169</v>
      </c>
      <c r="E63" s="68"/>
      <c r="G63" s="63"/>
      <c r="H63" s="63"/>
    </row>
    <row r="64" spans="1:15" ht="15.75" customHeight="1">
      <c r="A64" s="72" t="s">
        <v>143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144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145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146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147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148</v>
      </c>
      <c r="B69" s="76" t="s">
        <v>82</v>
      </c>
      <c r="C69" s="95">
        <f>IF(E69&gt;0,"Предоставляется",0)</f>
        <v>0</v>
      </c>
      <c r="D69" s="95" t="s">
        <v>55</v>
      </c>
      <c r="E69" s="94"/>
      <c r="F69" s="93" t="s">
        <v>170</v>
      </c>
      <c r="G69" s="65"/>
      <c r="H69" s="65"/>
    </row>
    <row r="70" spans="1:8" ht="15.75" customHeight="1">
      <c r="A70" s="72" t="s">
        <v>149</v>
      </c>
      <c r="B70" s="74" t="s">
        <v>37</v>
      </c>
      <c r="C70" s="97"/>
      <c r="D70" s="93" t="s">
        <v>171</v>
      </c>
      <c r="E70" s="68"/>
      <c r="G70" s="63"/>
      <c r="H70" s="63"/>
    </row>
    <row r="71" spans="1:8" ht="15.75" customHeight="1">
      <c r="A71" s="72" t="s">
        <v>150</v>
      </c>
      <c r="B71" s="74" t="s">
        <v>38</v>
      </c>
      <c r="C71" s="85"/>
      <c r="D71" s="93" t="s">
        <v>169</v>
      </c>
      <c r="E71" s="68"/>
      <c r="G71" s="63"/>
      <c r="H71" s="63"/>
    </row>
    <row r="72" spans="1:8" ht="15.75" customHeight="1">
      <c r="A72" s="72" t="s">
        <v>151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152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153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154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155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156</v>
      </c>
      <c r="B77" s="76" t="s">
        <v>83</v>
      </c>
      <c r="C77" s="95">
        <f>IF(E77&gt;0,"Предоставляется",0)</f>
        <v>0</v>
      </c>
      <c r="D77" s="95" t="s">
        <v>84</v>
      </c>
      <c r="E77" s="94"/>
      <c r="F77" s="93" t="s">
        <v>170</v>
      </c>
      <c r="G77" s="65"/>
      <c r="H77" s="65"/>
    </row>
    <row r="78" spans="1:8" ht="15.75" customHeight="1">
      <c r="A78" s="72" t="s">
        <v>157</v>
      </c>
      <c r="B78" s="74" t="s">
        <v>37</v>
      </c>
      <c r="C78" s="97"/>
      <c r="D78" s="93" t="s">
        <v>172</v>
      </c>
      <c r="E78" s="63"/>
      <c r="G78" s="63"/>
      <c r="H78" s="63"/>
    </row>
    <row r="79" spans="1:8" ht="15.75" customHeight="1">
      <c r="A79" s="72" t="s">
        <v>158</v>
      </c>
      <c r="B79" s="74" t="s">
        <v>38</v>
      </c>
      <c r="C79" s="85"/>
      <c r="D79" s="93" t="s">
        <v>169</v>
      </c>
      <c r="E79" s="63"/>
      <c r="G79" s="63"/>
      <c r="H79" s="63"/>
    </row>
    <row r="80" spans="1:8" ht="15.75" customHeight="1">
      <c r="A80" s="72" t="s">
        <v>159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160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161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162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163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173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174</v>
      </c>
      <c r="B3" s="58" t="s">
        <v>46</v>
      </c>
      <c r="C3" s="104">
        <v>1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175</v>
      </c>
      <c r="B4" s="58" t="s">
        <v>47</v>
      </c>
      <c r="C4" s="105">
        <v>21500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2024-03-29T01:37:47Z</dcterms:modified>
</cp:coreProperties>
</file>