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7" i="2" l="1"/>
  <c r="G1" i="2" l="1"/>
  <c r="C6" i="3" l="1"/>
  <c r="I66" i="2" l="1"/>
  <c r="H66" i="2"/>
  <c r="F66" i="2"/>
  <c r="I63" i="2"/>
  <c r="H63" i="2"/>
  <c r="F63" i="2"/>
  <c r="H64" i="2" s="1"/>
  <c r="H65" i="2" s="1"/>
  <c r="H60" i="2"/>
  <c r="H61" i="2" s="1"/>
  <c r="I59" i="2"/>
  <c r="H59" i="2"/>
  <c r="F59" i="2"/>
  <c r="I53" i="2"/>
  <c r="I54" i="2" s="1"/>
  <c r="I55" i="2" s="1"/>
  <c r="H53" i="2"/>
  <c r="H54" i="2" s="1"/>
  <c r="I60" i="2" l="1"/>
  <c r="I61" i="2" s="1"/>
  <c r="I67" i="2"/>
  <c r="I68" i="2" s="1"/>
  <c r="H67" i="2"/>
  <c r="H68" i="2" s="1"/>
  <c r="I64" i="2"/>
  <c r="I65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7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G118" i="1"/>
  <c r="J117" i="1"/>
  <c r="J112" i="1"/>
  <c r="J111" i="1"/>
  <c r="A114" i="1"/>
  <c r="A113" i="1"/>
  <c r="G110" i="1"/>
  <c r="J109" i="1"/>
  <c r="J104" i="1"/>
  <c r="J103" i="1"/>
  <c r="A109" i="1"/>
  <c r="A108" i="1"/>
  <c r="A106" i="1"/>
  <c r="A104" i="1"/>
  <c r="G102" i="1"/>
  <c r="F102" i="1"/>
  <c r="D102" i="1"/>
  <c r="A102" i="1"/>
  <c r="J101" i="1"/>
  <c r="J96" i="1"/>
  <c r="J95" i="1"/>
  <c r="A98" i="1"/>
  <c r="A97" i="1"/>
  <c r="G94" i="1"/>
  <c r="F94" i="1"/>
  <c r="D94" i="1"/>
  <c r="A94" i="1"/>
  <c r="K94" i="1"/>
  <c r="F110" i="1" l="1"/>
  <c r="A117" i="1"/>
  <c r="A105" i="1"/>
  <c r="A101" i="1"/>
  <c r="A95" i="1"/>
  <c r="A96" i="1"/>
  <c r="A99" i="1"/>
  <c r="A118" i="1"/>
  <c r="A140" i="1"/>
  <c r="A103" i="1"/>
  <c r="A135" i="1"/>
  <c r="A134" i="1"/>
  <c r="A136" i="1"/>
  <c r="D134" i="1"/>
  <c r="A139" i="1"/>
  <c r="A123" i="1"/>
  <c r="A119" i="1"/>
  <c r="D118" i="1"/>
  <c r="A124" i="1"/>
  <c r="A110" i="1"/>
  <c r="A111" i="1"/>
  <c r="A115" i="1"/>
  <c r="F118" i="1"/>
  <c r="A121" i="1"/>
  <c r="A125" i="1"/>
  <c r="F134" i="1"/>
  <c r="A137" i="1"/>
  <c r="A141" i="1"/>
  <c r="A120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64" i="1"/>
  <c r="A164" i="1" s="1"/>
  <c r="I164" i="1" s="1"/>
  <c r="N175" i="1"/>
  <c r="A175" i="1" s="1"/>
  <c r="I175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F173" i="1"/>
  <c r="H187" i="1"/>
  <c r="F183" i="1"/>
  <c r="F171" i="1"/>
  <c r="H186" i="1"/>
  <c r="F172" i="1"/>
  <c r="F170" i="1"/>
  <c r="F168" i="1"/>
  <c r="H185" i="1"/>
  <c r="H175" i="1"/>
  <c r="H177" i="1"/>
  <c r="H178" i="1"/>
  <c r="F186" i="1"/>
  <c r="F182" i="1"/>
  <c r="F175" i="1"/>
  <c r="H168" i="1"/>
  <c r="H174" i="1"/>
  <c r="H179" i="1"/>
  <c r="H171" i="1"/>
  <c r="H183" i="1"/>
  <c r="F169" i="1"/>
  <c r="F174" i="1"/>
  <c r="F185" i="1"/>
  <c r="H164" i="1"/>
  <c r="H176" i="1"/>
  <c r="H169" i="1"/>
  <c r="H181" i="1"/>
  <c r="F187" i="1"/>
  <c r="F164" i="1"/>
  <c r="F181" i="1"/>
  <c r="F166" i="1"/>
  <c r="H180" i="1"/>
  <c r="F165" i="1"/>
  <c r="H182" i="1"/>
  <c r="F178" i="1"/>
  <c r="H167" i="1"/>
  <c r="F179" i="1"/>
  <c r="F180" i="1"/>
  <c r="H166" i="1"/>
  <c r="H184" i="1"/>
  <c r="H173" i="1"/>
  <c r="F177" i="1"/>
  <c r="F167" i="1"/>
  <c r="H165" i="1"/>
  <c r="H170" i="1"/>
  <c r="F176" i="1"/>
  <c r="F184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<sst xmlns="http://schemas.openxmlformats.org/spreadsheetml/2006/main" count="564" uniqueCount="212">
  <si>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</si>
  <si>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</si>
  <si>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</si>
  <si>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</si>
  <si>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</si>
  <si>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</si>
  <si>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</si>
  <si>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</si>
  <si>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</si>
  <si>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</si>
  <si>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</si>
  <si>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</si>
  <si>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</si>
  <si>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</si>
  <si>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</si>
  <si>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</si>
  <si>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</si>
  <si>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</si>
  <si>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</si>
  <si>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</si>
  <si>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</si>
  <si>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</si>
  <si>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</si>
  <si>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</si>
  <si>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</si>
  <si>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</si>
  <si>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</si>
  <si>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</si>
  <si>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</si>
  <si>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</si>
  <si>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</si>
  <si>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</si>
  <si>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</si>
  <si>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</si>
  <si>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</si>
  <si>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</si>
  <si>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</si>
  <si>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</si>
  <si>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</si>
  <si>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</si>
  <si>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</si>
  <si>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</si>
  <si>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</si>
  <si>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</si>
  <si>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</si>
  <si>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</si>
  <si>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</si>
  <si>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</si>
  <si>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</si>
  <si>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</si>
  <si>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</si>
  <si>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</si>
  <si>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</si>
  <si>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</si>
  <si>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</si>
  <si>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</si>
  <si>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</si>
  <si>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</si>
  <si>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</si>
  <si>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</si>
  <si>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</si>
  <si>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</si>
  <si>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</si>
  <si>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</si>
  <si>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</si>
  <si>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</si>
  <si>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</si>
  <si>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</si>
  <si>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</si>
  <si>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</si>
  <si>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</si>
  <si>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</si>
  <si>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</si>
  <si>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</si>
  <si>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</si>
  <si>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</si>
  <si>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</si>
  <si>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</si>
  <si>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</si>
  <si>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</si>
  <si>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</si>
  <si>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</si>
  <si>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</si>
  <si>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</si>
  <si>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</si>
  <si>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</si>
  <si>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</si>
  <si>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</si>
  <si>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</si>
  <si>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</si>
  <si>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</si>
  <si>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</si>
  <si>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</si>
  <si>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</si>
  <si>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</si>
  <si>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</si>
  <si>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</si>
  <si>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</si>
  <si>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</si>
  <si>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</si>
  <si>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</si>
  <si>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</si>
  <si>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</si>
  <si>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</si>
  <si>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</si>
  <si>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</si>
  <si>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</si>
  <si>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</si>
  <si>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</si>
  <si>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</si>
  <si>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</si>
  <si>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</si>
  <si>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</si>
  <si>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</si>
  <si>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</si>
  <si>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</si>
  <si>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</si>
  <si>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</si>
  <si>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</si>
  <si>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</si>
  <si>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</si>
  <si>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</si>
  <si>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</si>
  <si>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</si>
  <si>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</si>
  <si>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</si>
  <si>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</si>
  <si>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</si>
  <si>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</si>
  <si>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</si>
  <si>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</si>
  <si>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</si>
  <si>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</si>
  <si>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</si>
  <si>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</si>
  <si>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</si>
  <si>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</si>
  <si>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</si>
  <si>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</si>
  <si>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</si>
  <si>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</si>
  <si>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</si>
  <si>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</si>
  <si>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</si>
  <si>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</si>
  <si>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</si>
  <si>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</si>
  <si>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</si>
  <si>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</si>
  <si>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</si>
  <si>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</si>
  <si>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</si>
  <si>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</si>
  <si>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</si>
  <si>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</si>
  <si>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</si>
  <si>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</si>
  <si>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</si>
  <si>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</si>
  <si>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</si>
  <si>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</si>
  <si>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</si>
  <si>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</si>
  <si>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</si>
  <si>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</si>
  <si>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</si>
  <si>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</si>
  <si>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</si>
  <si>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</si>
  <si>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</si>
  <si>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</si>
  <si>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</si>
  <si>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</si>
  <si>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</si>
  <si>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</si>
  <si>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</si>
  <si>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</si>
  <si>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</si>
  <si>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ежемесячно</t>
  </si>
  <si>
    <t>Отчет об исполнении договора управления многоквартирного дома 
Александра Невского, 99/3</t>
  </si>
  <si>
    <t>Отчет об исполнении договора управления многоквартирного дома 
Александра Невского, 99/3 в части текущего ремонта</t>
  </si>
  <si>
    <t>Техническое обслуживание видеонаблюдения.</t>
  </si>
  <si>
    <t>с 01.04.2019 на осн. Протокола №1-2 от 02.04.2018, Приказ №21 от 02.04..2019</t>
  </si>
  <si>
    <t>площадь дома</t>
  </si>
  <si>
    <t>ежегодно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</si>
  <si>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</si>
  <si>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</si>
  <si>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</si>
  <si>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</si>
  <si>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</si>
  <si>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</si>
  <si>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</si>
  <si>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</si>
  <si>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АВР 3/23 от 23.06.2023</t>
  </si>
  <si>
    <t>Дополнительная уборка придомовой территории.</t>
  </si>
  <si>
    <t>Ремонт подъезда (приобретение керамогранита).</t>
  </si>
  <si>
    <t>Приобретение и замена шаровых кранов (Ду 100-2шт.) в ИТП.</t>
  </si>
  <si>
    <t>АВР 2/23 от 06.07.2023, счет №5268 от 11.07.2023</t>
  </si>
  <si>
    <t>Приобретение и замена предохранительных клапанов в ИТП (6 шт.).</t>
  </si>
  <si>
    <t>Ремонт подъезда (со 2 по 10 этажи).</t>
  </si>
  <si>
    <t>Приобретение и замена регистратора системы видеонаблюдения.</t>
  </si>
  <si>
    <t>АВР 7/23 от 08.09.2023, счет №180 от 08.09.2023</t>
  </si>
  <si>
    <t>АВР 1/23 от 04.02.2023, счет №91 от 31.12.2022</t>
  </si>
  <si>
    <t>АВР 4/23 от 30.12.2023</t>
  </si>
  <si>
    <t>АВР 5/23 от 11.06.2023, счет №5268 от 11.07.2023</t>
  </si>
  <si>
    <t>АВР 6/23 от 13.09.2023, счет №349 от 13.09.2023</t>
  </si>
  <si>
    <t>АВР 8/23 от 18.10.2023, счет №88 от 18.10.2023</t>
  </si>
  <si>
    <t>АВР 10/23 от 11.04.2023</t>
  </si>
  <si>
    <t xml:space="preserve">  -  замена задвижек на ИТП</t>
  </si>
  <si>
    <t xml:space="preserve">  -  монтаж системы видеонаблюдения </t>
  </si>
  <si>
    <t>Приобретение и замена манометров (10 шт.).</t>
  </si>
  <si>
    <t>АВР 9/23 от 15.11.2023, Решение, cчет №72 от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</si>
</sst>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0" fontId="21" fillId="0" borderId="0" xfId="4" applyFill="1" applyBorder="1" applyAlignment="1">
      <alignment horizontal="center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4" fontId="26" fillId="0" borderId="0" xfId="0" applyNumberFormat="1" applyFont="1" applyFill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4" fontId="36" fillId="3" borderId="0" xfId="11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15" fillId="0" borderId="0" xfId="2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4" fontId="11" fillId="0" borderId="0" xfId="2" applyNumberFormat="1" applyFont="1" applyFill="1" applyBorder="1" applyAlignment="1"/>
    <xf numFmtId="4" fontId="11" fillId="0" borderId="0" xfId="4" applyNumberFormat="1" applyFont="1" applyFill="1" applyBorder="1" applyAlignment="1">
      <alignment horizontal="center"/>
    </xf>
    <xf numFmtId="4" fontId="26" fillId="0" borderId="0" xfId="1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0" fontId="9" fillId="0" borderId="0" xfId="2" applyFont="1" applyFill="1" applyBorder="1" applyAlignment="1"/>
    <xf numFmtId="0" fontId="6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" fontId="4" fillId="0" borderId="0" xfId="4" applyNumberFormat="1" applyFont="1" applyFill="1" applyBorder="1" applyAlignment="1">
      <alignment horizontal="center"/>
    </xf>
    <xf numFmtId="0" fontId="14" fillId="0" borderId="0" xfId="2" applyFont="1" applyFill="1" applyBorder="1" applyAlignment="1"/>
    <xf numFmtId="0" fontId="34" fillId="0" borderId="0" xfId="48" applyFont="1" applyFill="1" applyBorder="1" applyAlignment="1"/>
    <xf numFmtId="0" fontId="34" fillId="0" borderId="0" xfId="6" applyFont="1" applyFill="1" applyBorder="1" applyAlignment="1"/>
    <xf numFmtId="0" fontId="34" fillId="0" borderId="0" xfId="6" applyFont="1" applyFill="1" applyBorder="1" applyAlignment="1">
      <alignment horizontal="center"/>
    </xf>
    <xf numFmtId="0" fontId="34" fillId="0" borderId="0" xfId="6" applyNumberFormat="1" applyFont="1" applyFill="1" applyBorder="1" applyAlignment="1">
      <alignment horizontal="center"/>
    </xf>
    <xf numFmtId="4" fontId="34" fillId="0" borderId="0" xfId="6" applyNumberFormat="1" applyFon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9" fillId="0" borderId="0" xfId="6" applyFill="1" applyBorder="1" applyAlignment="1"/>
    <xf numFmtId="0" fontId="18" fillId="0" borderId="0" xfId="6" applyFont="1" applyFill="1" applyBorder="1" applyAlignment="1">
      <alignment horizontal="center"/>
    </xf>
    <xf numFmtId="0" fontId="19" fillId="0" borderId="0" xfId="6" applyFill="1" applyBorder="1" applyAlignment="1">
      <alignment horizontal="center"/>
    </xf>
    <xf numFmtId="4" fontId="19" fillId="0" borderId="0" xfId="6" applyNumberFormat="1" applyFill="1" applyBorder="1" applyAlignment="1"/>
    <xf numFmtId="0" fontId="1" fillId="0" borderId="0" xfId="15" applyFont="1" applyFill="1" applyBorder="1" applyAlignment="1"/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81">
    <cellStyle name="Обычный" xfId="0" builtinId="0"/>
    <cellStyle name="Обычный 2" xfId="1"/>
    <cellStyle name="Обычный 2 10" xfId="59"/>
    <cellStyle name="Обычный 2 2" xfId="3"/>
    <cellStyle name="Обычный 2 3" xfId="7"/>
    <cellStyle name="Обычный 2 3 2" xfId="38"/>
    <cellStyle name="Обычный 2 3 2 2" xfId="74"/>
    <cellStyle name="Обычный 2 3 3" xfId="23"/>
    <cellStyle name="Обычный 2 3 4" xfId="51"/>
    <cellStyle name="Обычный 2 3 5" xfId="67"/>
    <cellStyle name="Обычный 2 4" xfId="42"/>
    <cellStyle name="Обычный 2 4 2" xfId="55"/>
    <cellStyle name="Обычный 2 4 2 2" xfId="77"/>
    <cellStyle name="Обычный 2 4 3" xfId="63"/>
    <cellStyle name="Обычный 2 5" xfId="11"/>
    <cellStyle name="Обычный 2 5 2" xfId="34"/>
    <cellStyle name="Обычный 2 5 2 2" xfId="75"/>
    <cellStyle name="Обычный 2 5 3" xfId="16"/>
    <cellStyle name="Обычный 2 5 4" xfId="52"/>
    <cellStyle name="Обычный 2 5 5" xfId="68"/>
    <cellStyle name="Обычный 2 6" xfId="27"/>
    <cellStyle name="Обычный 2 6 2" xfId="70"/>
    <cellStyle name="Обычный 2 7" xfId="18"/>
    <cellStyle name="Обычный 2 8" xfId="12"/>
    <cellStyle name="Обычный 2 9" xfId="46"/>
    <cellStyle name="Обычный 3" xfId="2"/>
    <cellStyle name="Обычный 3 2" xfId="8"/>
    <cellStyle name="Обычный 3 2 2" xfId="39"/>
    <cellStyle name="Обычный 3 2 2 2" xfId="78"/>
    <cellStyle name="Обычный 3 2 3" xfId="32"/>
    <cellStyle name="Обычный 3 2 4" xfId="24"/>
    <cellStyle name="Обычный 3 2 5" xfId="56"/>
    <cellStyle name="Обычный 3 2 6" xfId="64"/>
    <cellStyle name="Обычный 3 3" xfId="43"/>
    <cellStyle name="Обычный 3 3 2" xfId="71"/>
    <cellStyle name="Обычный 3 4" xfId="35"/>
    <cellStyle name="Обычный 3 5" xfId="28"/>
    <cellStyle name="Обычный 3 6" xfId="19"/>
    <cellStyle name="Обычный 3 7" xfId="13"/>
    <cellStyle name="Обычный 3 8" xfId="47"/>
    <cellStyle name="Обычный 3 9" xfId="60"/>
    <cellStyle name="Обычный 4" xfId="4"/>
    <cellStyle name="Обычный 4 2" xfId="9"/>
    <cellStyle name="Обычный 4 2 2" xfId="40"/>
    <cellStyle name="Обычный 4 2 2 2" xfId="79"/>
    <cellStyle name="Обычный 4 2 3" xfId="33"/>
    <cellStyle name="Обычный 4 2 4" xfId="25"/>
    <cellStyle name="Обычный 4 2 5" xfId="57"/>
    <cellStyle name="Обычный 4 2 6" xfId="65"/>
    <cellStyle name="Обычный 4 3" xfId="44"/>
    <cellStyle name="Обычный 4 3 2" xfId="72"/>
    <cellStyle name="Обычный 4 4" xfId="36"/>
    <cellStyle name="Обычный 4 5" xfId="29"/>
    <cellStyle name="Обычный 4 6" xfId="20"/>
    <cellStyle name="Обычный 4 7" xfId="14"/>
    <cellStyle name="Обычный 4 8" xfId="48"/>
    <cellStyle name="Обычный 4 9" xfId="61"/>
    <cellStyle name="Обычный 5" xfId="5"/>
    <cellStyle name="Обычный 5 2" xfId="10"/>
    <cellStyle name="Обычный 5 2 2" xfId="41"/>
    <cellStyle name="Обычный 5 2 2 2" xfId="80"/>
    <cellStyle name="Обычный 5 2 3" xfId="26"/>
    <cellStyle name="Обычный 5 2 4" xfId="17"/>
    <cellStyle name="Обычный 5 2 5" xfId="58"/>
    <cellStyle name="Обычный 5 2 6" xfId="66"/>
    <cellStyle name="Обычный 5 3" xfId="22"/>
    <cellStyle name="Обычный 5 3 2" xfId="45"/>
    <cellStyle name="Обычный 5 3 3" xfId="73"/>
    <cellStyle name="Обычный 5 4" xfId="37"/>
    <cellStyle name="Обычный 5 5" xfId="30"/>
    <cellStyle name="Обычный 5 6" xfId="21"/>
    <cellStyle name="Обычный 5 7" xfId="15"/>
    <cellStyle name="Обычный 5 7 2" xfId="69"/>
    <cellStyle name="Обычный 5 8" xfId="49"/>
    <cellStyle name="Обычный 5 9" xfId="62"/>
    <cellStyle name="Обычный 6" xfId="6"/>
    <cellStyle name="Обычный 6 2" xfId="31"/>
    <cellStyle name="Обычный 6 2 2" xfId="54"/>
    <cellStyle name="Обычный 6 3" xfId="50"/>
    <cellStyle name="Обычный 7" xfId="53"/>
    <cellStyle name="Обычный 7 2" xfId="7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179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80"/>
      <c r="M8" s="109"/>
      <c r="N8" s="109"/>
      <c r="O8" s="70" t="s">
        <v>84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80"/>
      <c r="M9" s="109"/>
      <c r="N9" s="109"/>
      <c r="O9" s="70" t="s">
        <v>85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198122.61</v>
      </c>
      <c r="K10" s="109"/>
      <c r="L10" s="180"/>
      <c r="M10" s="109"/>
      <c r="N10" s="109"/>
      <c r="O10" s="70" t="s">
        <v>86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816501.36</v>
      </c>
      <c r="K11" s="109"/>
      <c r="L11" s="180"/>
      <c r="M11" s="109"/>
      <c r="N11" s="109"/>
      <c r="O11" s="70" t="s">
        <v>87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436246.70399999997</v>
      </c>
      <c r="K12" s="109"/>
      <c r="L12" s="180"/>
      <c r="M12" s="109"/>
      <c r="N12" s="109"/>
      <c r="O12" s="70" t="s">
        <v>88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238854.81599999999</v>
      </c>
      <c r="K13" s="109"/>
      <c r="L13" s="180"/>
      <c r="M13" s="109"/>
      <c r="N13" s="109"/>
      <c r="O13" s="70" t="s">
        <v>89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141399.84</v>
      </c>
      <c r="K14" s="109"/>
      <c r="L14" s="180"/>
      <c r="M14" s="109"/>
      <c r="N14" s="109"/>
      <c r="O14" s="70" t="s">
        <v>90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882865.41</v>
      </c>
      <c r="K15" s="109"/>
      <c r="L15" s="180"/>
      <c r="M15" s="109"/>
      <c r="N15" s="109"/>
      <c r="O15" s="70" t="s">
        <v>91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882865.41</v>
      </c>
      <c r="K16" s="109"/>
      <c r="L16" s="180"/>
      <c r="M16" s="109"/>
      <c r="N16" s="109"/>
      <c r="O16" s="70" t="s">
        <v>92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80"/>
      <c r="M17" s="109"/>
      <c r="N17" s="109"/>
      <c r="O17" s="70" t="s">
        <v>93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80"/>
      <c r="M18" s="109"/>
      <c r="N18" s="109"/>
      <c r="O18" s="70" t="s">
        <v>94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80"/>
      <c r="M19" s="109"/>
      <c r="N19" s="109"/>
      <c r="O19" s="70" t="s">
        <v>95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80"/>
      <c r="M20" s="109"/>
      <c r="N20" s="109"/>
      <c r="O20" s="70" t="s">
        <v>96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882865.41</v>
      </c>
      <c r="K21" s="109"/>
      <c r="L21" s="180"/>
      <c r="M21" s="109"/>
      <c r="N21" s="109"/>
      <c r="O21" s="70" t="s">
        <v>97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80"/>
      <c r="M22" s="109"/>
      <c r="N22" s="109"/>
      <c r="O22" s="70" t="s">
        <v>98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80"/>
      <c r="M23" s="109"/>
      <c r="N23" s="109"/>
      <c r="O23" s="70" t="s">
        <v>99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131758.55999999994</v>
      </c>
      <c r="K24" s="109"/>
      <c r="L24" s="180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221135.64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9">
        <f>VLOOKUP(A29,ПТО!$A$39:$D$53,2,FALSE)</f>
        <v>67687.319999999992</v>
      </c>
      <c r="G29" s="169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9">
        <f>VLOOKUP(A30,ПТО!$A$39:$D$53,2,FALSE)</f>
        <v>45361.2</v>
      </c>
      <c r="G30" s="169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9">
        <f>VLOOKUP(A31,ПТО!$A$39:$D$53,2,FALSE)</f>
        <v>42526.080000000002</v>
      </c>
      <c r="G31" s="169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9">
        <f>VLOOKUP(A33,ПТО!$A$39:$D$53,2,FALSE)</f>
        <v>12757.800000000001</v>
      </c>
      <c r="G33" s="169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9">
        <f>VLOOKUP(A34,ПТО!$A$39:$D$53,2,FALSE)</f>
        <v>46778.64</v>
      </c>
      <c r="G34" s="169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64">
        <f>ПТО!A46</f>
        <v>0</v>
      </c>
      <c r="B35" s="164"/>
      <c r="C35" s="164"/>
      <c r="D35" s="164"/>
      <c r="E35" s="164"/>
      <c r="F35" s="169" t="e">
        <f>VLOOKUP(A35,ПТО!$A$39:$D$53,2,FALSE)</f>
        <v>#N/A</v>
      </c>
      <c r="G35" s="169"/>
      <c r="H35" s="42" t="e">
        <f>VLOOKUP(A35,ПТО!$A$39:$D$53,3,FALSE)</f>
        <v>#N/A</v>
      </c>
      <c r="I35" s="165" t="e">
        <f>VLOOKUP(A35,ПТО!$A$39:$D$53,4,FALSE)</f>
        <v>#N/A</v>
      </c>
      <c r="J35" s="165"/>
      <c r="K35" s="109"/>
      <c r="L35" s="181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64">
        <f>ПТО!A47</f>
        <v>0</v>
      </c>
      <c r="B36" s="164"/>
      <c r="C36" s="164"/>
      <c r="D36" s="164"/>
      <c r="E36" s="164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1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1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1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1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1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1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1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Техническое освидетельствование лифта.</v>
      </c>
      <c r="B43" s="164"/>
      <c r="C43" s="164"/>
      <c r="D43" s="164"/>
      <c r="E43" s="164"/>
      <c r="F43" s="169">
        <f>VLOOKUP(A43,ПТО!$A$2:$D$31,4,FALSE)</f>
        <v>8100</v>
      </c>
      <c r="G43" s="169"/>
      <c r="H43" s="19" t="str">
        <f>VLOOKUP(A43,ПТО!$A$2:$D$31,2,FALSE)</f>
        <v>ежегодно</v>
      </c>
      <c r="I43" s="165">
        <f>VLOOKUP(A43,ПТО!$A$2:$D$31,3,FALSE)</f>
        <v>1</v>
      </c>
      <c r="J43" s="165"/>
      <c r="K43" s="109"/>
      <c r="L43" s="181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4" t="str">
        <f>ПТО!A3</f>
        <v>Техническое обслуживание видеонаблюдения.</v>
      </c>
      <c r="B44" s="164"/>
      <c r="C44" s="164"/>
      <c r="D44" s="164"/>
      <c r="E44" s="164"/>
      <c r="F44" s="169">
        <f>VLOOKUP(A44,ПТО!$A$2:$D$31,4,FALSE)</f>
        <v>5240</v>
      </c>
      <c r="G44" s="169"/>
      <c r="H44" s="25" t="str">
        <f>VLOOKUP(A44,ПТО!$A$2:$D$31,2,FALSE)</f>
        <v>ежемесячно</v>
      </c>
      <c r="I44" s="165">
        <f>VLOOKUP(A44,ПТО!$A$2:$D$31,3,FALSE)</f>
        <v>12</v>
      </c>
      <c r="J44" s="165"/>
      <c r="K44" s="109"/>
      <c r="L44" s="181"/>
      <c r="M44" s="116"/>
      <c r="N44" s="109"/>
      <c r="O44" s="23" t="str">
        <f t="shared" si="1"/>
        <v>Техническое обслуживание видеонаблюдения.</v>
      </c>
      <c r="R44" s="22" t="s">
        <v>72</v>
      </c>
    </row>
    <row r="45" spans="1:18" ht="51" customHeight="1" outlineLevel="1">
      <c r="A45" s="164" t="str">
        <f>ПТО!A4</f>
        <v>Механизированная уборка и вывоз снега с придомовой территории.</v>
      </c>
      <c r="B45" s="164"/>
      <c r="C45" s="164"/>
      <c r="D45" s="164"/>
      <c r="E45" s="164"/>
      <c r="F45" s="169">
        <f>VLOOKUP(A45,ПТО!$A$2:$D$31,4,FALSE)</f>
        <v>25495</v>
      </c>
      <c r="G45" s="169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1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4" t="str">
        <f>ПТО!A5</f>
        <v>Приобретение и замена шаровых кранов (Ду 100-2шт.) в ИТП.</v>
      </c>
      <c r="B46" s="164"/>
      <c r="C46" s="164"/>
      <c r="D46" s="164"/>
      <c r="E46" s="164"/>
      <c r="F46" s="169">
        <f>VLOOKUP(A46,ПТО!$A$2:$D$31,4,FALSE)</f>
        <v>12500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1"/>
      <c r="M46" s="116"/>
      <c r="N46" s="109"/>
      <c r="O46" s="23" t="str">
        <f t="shared" si="1"/>
        <v>Приобретение и замена шаровых кранов (Ду 100-2шт.) в ИТП.</v>
      </c>
      <c r="R46" s="22" t="s">
        <v>72</v>
      </c>
    </row>
    <row r="47" spans="1:18" ht="51" customHeight="1" outlineLevel="1">
      <c r="A47" s="164" t="str">
        <f>ПТО!A6</f>
        <v>Дополнительная уборка придомовой территории.</v>
      </c>
      <c r="B47" s="164"/>
      <c r="C47" s="164"/>
      <c r="D47" s="164"/>
      <c r="E47" s="164"/>
      <c r="F47" s="169">
        <f>VLOOKUP(A47,ПТО!$A$2:$D$31,4,FALSE)</f>
        <v>2000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1"/>
      <c r="M47" s="116"/>
      <c r="N47" s="109"/>
      <c r="O47" s="23" t="str">
        <f t="shared" si="1"/>
        <v>Дополнительная уборка придомовой территории.</v>
      </c>
      <c r="R47" s="22" t="s">
        <v>72</v>
      </c>
    </row>
    <row r="48" spans="1:18" ht="51" customHeight="1" outlineLevel="1">
      <c r="A48" s="164" t="str">
        <f>ПТО!A7</f>
        <v>Приобретение и замена манометров (10 шт.).</v>
      </c>
      <c r="B48" s="164"/>
      <c r="C48" s="164"/>
      <c r="D48" s="164"/>
      <c r="E48" s="164"/>
      <c r="F48" s="169">
        <f>VLOOKUP(A48,ПТО!$A$2:$D$31,4,FALSE)</f>
        <v>1590.46</v>
      </c>
      <c r="G48" s="169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1"/>
      <c r="M48" s="116"/>
      <c r="N48" s="109"/>
      <c r="O48" s="23" t="str">
        <f t="shared" si="1"/>
        <v>Приобретение и замена манометров (10 шт.).</v>
      </c>
      <c r="R48" s="22" t="s">
        <v>72</v>
      </c>
    </row>
    <row r="49" spans="1:18" ht="51" customHeight="1" outlineLevel="1">
      <c r="A49" s="164" t="str">
        <f>ПТО!A8</f>
        <v>Приобретение и замена предохранительных клапанов в ИТП (6 шт.).</v>
      </c>
      <c r="B49" s="164"/>
      <c r="C49" s="164"/>
      <c r="D49" s="164"/>
      <c r="E49" s="164"/>
      <c r="F49" s="169">
        <f>VLOOKUP(A49,ПТО!$A$2:$D$31,4,FALSE)</f>
        <v>670</v>
      </c>
      <c r="G49" s="169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1"/>
      <c r="M49" s="116"/>
      <c r="N49" s="109"/>
      <c r="O49" s="23" t="str">
        <f t="shared" si="1"/>
        <v>Приобретение и замена предохранительных клапанов в ИТП (6 шт.).</v>
      </c>
      <c r="R49" s="22" t="s">
        <v>72</v>
      </c>
    </row>
    <row r="50" spans="1:18" ht="51" customHeight="1" outlineLevel="1">
      <c r="A50" s="164" t="str">
        <f>ПТО!A9</f>
        <v>Ремонт подъезда (приобретение керамогранита).</v>
      </c>
      <c r="B50" s="164"/>
      <c r="C50" s="164"/>
      <c r="D50" s="164"/>
      <c r="E50" s="164"/>
      <c r="F50" s="169">
        <f>VLOOKUP(A50,ПТО!$A$2:$D$31,4,FALSE)</f>
        <v>238140</v>
      </c>
      <c r="G50" s="169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1"/>
      <c r="M50" s="116"/>
      <c r="N50" s="109"/>
      <c r="O50" s="23" t="str">
        <f t="shared" si="1"/>
        <v>Ремонт подъезда (приобретение керамогранита).</v>
      </c>
      <c r="R50" s="22" t="s">
        <v>72</v>
      </c>
    </row>
    <row r="51" spans="1:18" ht="51" customHeight="1" outlineLevel="1">
      <c r="A51" s="164" t="str">
        <f>ПТО!A10</f>
        <v>Приобретение и замена регистратора системы видеонаблюдения.</v>
      </c>
      <c r="B51" s="164"/>
      <c r="C51" s="164"/>
      <c r="D51" s="164"/>
      <c r="E51" s="164"/>
      <c r="F51" s="169">
        <f>VLOOKUP(A51,ПТО!$A$2:$D$31,4,FALSE)</f>
        <v>7678</v>
      </c>
      <c r="G51" s="169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1"/>
      <c r="M51" s="116"/>
      <c r="N51" s="109"/>
      <c r="O51" s="23" t="str">
        <f t="shared" si="1"/>
        <v>Приобретение и замена регистратора системы видеонаблюдения.</v>
      </c>
      <c r="R51" s="22" t="s">
        <v>72</v>
      </c>
    </row>
    <row r="52" spans="1:18" ht="51" customHeight="1" outlineLevel="1">
      <c r="A52" s="164" t="str">
        <f>ПТО!A11</f>
        <v>Ремонт подъезда (со 2 по 10 этажи).</v>
      </c>
      <c r="B52" s="164"/>
      <c r="C52" s="164"/>
      <c r="D52" s="164"/>
      <c r="E52" s="164"/>
      <c r="F52" s="169">
        <f>VLOOKUP(A52,ПТО!$A$2:$D$31,4,FALSE)</f>
        <v>533483</v>
      </c>
      <c r="G52" s="169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1"/>
      <c r="M52" s="116"/>
      <c r="N52" s="109"/>
      <c r="O52" s="23" t="str">
        <f t="shared" si="1"/>
        <v>Ремонт подъезда (со 2 по 10 этажи).</v>
      </c>
      <c r="R52" s="22" t="s">
        <v>72</v>
      </c>
    </row>
    <row r="53" spans="1:18" ht="51" hidden="1" customHeight="1" outlineLevel="1">
      <c r="A53" s="164">
        <f>ПТО!A12</f>
        <v>0</v>
      </c>
      <c r="B53" s="164"/>
      <c r="C53" s="164"/>
      <c r="D53" s="164"/>
      <c r="E53" s="164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9"/>
      <c r="L53" s="181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4">
        <f>ПТО!A13</f>
        <v>0</v>
      </c>
      <c r="B54" s="164"/>
      <c r="C54" s="164"/>
      <c r="D54" s="164"/>
      <c r="E54" s="164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9"/>
      <c r="L54" s="181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1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1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1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1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1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1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1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1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1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1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1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1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1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1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1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1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1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1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9"/>
      <c r="L75" s="184"/>
      <c r="M75" s="109"/>
      <c r="N75" s="109"/>
      <c r="O75" s="70" t="s">
        <v>101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9"/>
      <c r="L76" s="184"/>
      <c r="M76" s="109"/>
      <c r="N76" s="109"/>
      <c r="O76" s="70" t="s">
        <v>102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9"/>
      <c r="L77" s="184"/>
      <c r="M77" s="109"/>
      <c r="N77" s="109"/>
      <c r="O77" s="70" t="s">
        <v>103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7">
        <f>VLOOKUP(O78,АО,3,FALSE)</f>
        <v>0</v>
      </c>
      <c r="K78" s="109"/>
      <c r="L78" s="184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0"/>
      <c r="M81" s="109"/>
      <c r="N81" s="109"/>
      <c r="O81" s="70" t="s">
        <v>105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0"/>
      <c r="M82" s="109"/>
      <c r="N82" s="109"/>
      <c r="O82" s="70" t="s">
        <v>106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7">
        <f t="shared" si="2"/>
        <v>68445.960000000006</v>
      </c>
      <c r="K83" s="109"/>
      <c r="L83" s="170"/>
      <c r="M83" s="109"/>
      <c r="N83" s="109"/>
      <c r="O83" s="70" t="s">
        <v>107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7">
        <f t="shared" si="2"/>
        <v>0</v>
      </c>
      <c r="K84" s="109"/>
      <c r="L84" s="170"/>
      <c r="M84" s="109"/>
      <c r="N84" s="109"/>
      <c r="O84" s="70" t="s">
        <v>108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7">
        <f t="shared" si="2"/>
        <v>0</v>
      </c>
      <c r="K85" s="109"/>
      <c r="L85" s="170"/>
      <c r="M85" s="109"/>
      <c r="N85" s="109"/>
      <c r="O85" s="70" t="s">
        <v>109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7">
        <f t="shared" si="2"/>
        <v>70947.92</v>
      </c>
      <c r="K86" s="109"/>
      <c r="L86" s="170"/>
      <c r="M86" s="109"/>
      <c r="N86" s="109"/>
      <c r="O86" s="70" t="s">
        <v>110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70"/>
      <c r="M87" s="109"/>
      <c r="N87" s="109"/>
      <c r="O87" s="70" t="s">
        <v>111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70"/>
      <c r="M88" s="109"/>
      <c r="N88" s="109"/>
      <c r="O88" s="70" t="s">
        <v>112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70"/>
      <c r="M89" s="109"/>
      <c r="N89" s="109"/>
      <c r="O89" s="70" t="s">
        <v>113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7">
        <f t="shared" si="2"/>
        <v>0</v>
      </c>
      <c r="K90" s="109"/>
      <c r="L90" s="170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5" t="s">
        <v>48</v>
      </c>
      <c r="B93" s="185"/>
      <c r="C93" s="185"/>
      <c r="D93" s="186" t="s">
        <v>49</v>
      </c>
      <c r="E93" s="186"/>
      <c r="F93" s="10" t="s">
        <v>50</v>
      </c>
      <c r="G93" s="185" t="s">
        <v>51</v>
      </c>
      <c r="H93" s="185"/>
      <c r="I93" s="185"/>
      <c r="J93" s="185"/>
      <c r="K93" s="109"/>
      <c r="L93" s="109"/>
      <c r="M93" s="109"/>
      <c r="N93" s="109"/>
    </row>
    <row r="94" spans="1:15" hidden="1" outlineLevel="1">
      <c r="A94" s="166">
        <f>IF(VLOOKUP("эл",АО,3,FALSE)&gt;0,"Электроснабжение",0)</f>
        <v>0</v>
      </c>
      <c r="B94" s="166"/>
      <c r="C94" s="166"/>
      <c r="D94" s="167">
        <f>IF(VLOOKUP("эл",АО,3,FALSE)&gt;0,VLOOKUP("эл",АО,3,FALSE),0)</f>
        <v>0</v>
      </c>
      <c r="E94" s="167"/>
      <c r="F94" s="13">
        <f>IF(VLOOKUP("эл",АО,3,FALSE)&gt;0,VLOOKUP("эл",АО,4,FALSE),0)</f>
        <v>0</v>
      </c>
      <c r="G94" s="168">
        <f>VLOOKUP("эл",АО,5,FALSE)</f>
        <v>0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hidden="1" outlineLevel="2">
      <c r="A95" s="183">
        <f>IF(VLOOKUP("эл",АО,3,FALSE)&gt;0,VLOOKUP("эл1",АО,2,FALSE),0)</f>
        <v>0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0</v>
      </c>
      <c r="L95" s="171"/>
      <c r="O95" s="1" t="s">
        <v>115</v>
      </c>
    </row>
    <row r="96" spans="1:15" hidden="1" outlineLevel="2">
      <c r="A96" s="183">
        <f>IF(VLOOKUP("эл",АО,3,FALSE)&gt;0,VLOOKUP("эл2",АО,2,FALSE),0)</f>
        <v>0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0</v>
      </c>
      <c r="L96" s="171"/>
      <c r="O96" s="1" t="s">
        <v>116</v>
      </c>
    </row>
    <row r="97" spans="1:15" hidden="1" outlineLevel="2">
      <c r="A97" s="183">
        <f>IF(VLOOKUP("эл",АО,3,FALSE)&gt;0,VLOOKUP("эл3",АО,2,FALSE),0)</f>
        <v>0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0</v>
      </c>
      <c r="L97" s="171"/>
      <c r="O97" s="1" t="s">
        <v>117</v>
      </c>
    </row>
    <row r="98" spans="1:15" ht="37.5" hidden="1" customHeight="1" outlineLevel="2">
      <c r="A98" s="183">
        <f>IF(VLOOKUP("эл",АО,3,FALSE)&gt;0,VLOOKUP("эл4",АО,2,FALSE),0)</f>
        <v>0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0</v>
      </c>
      <c r="L98" s="171"/>
      <c r="O98" s="1" t="s">
        <v>118</v>
      </c>
    </row>
    <row r="99" spans="1:15" hidden="1" outlineLevel="2">
      <c r="A99" s="183">
        <f>IF(VLOOKUP("эл",АО,3,FALSE)&gt;0,VLOOKUP("эл5",АО,2,FALSE),0)</f>
        <v>0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0</v>
      </c>
      <c r="L99" s="171"/>
      <c r="O99" s="1" t="s">
        <v>119</v>
      </c>
    </row>
    <row r="100" spans="1:15" ht="39" hidden="1" customHeight="1" outlineLevel="2">
      <c r="A100" s="183">
        <f>IF(VLOOKUP("эл",АО,3,FALSE)&gt;0,VLOOKUP("эл6",АО,2,FALSE),0)</f>
        <v>0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120</v>
      </c>
    </row>
    <row r="101" spans="1:15" ht="34.5" hidden="1" customHeight="1" outlineLevel="2">
      <c r="A101" s="183">
        <f>IF(VLOOKUP("эл",АО,3,FALSE)&gt;0,VLOOKUP("эл7",АО,2,FALSE),0)</f>
        <v>0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121</v>
      </c>
    </row>
    <row r="102" spans="1:15" ht="28.5" customHeight="1" outlineLevel="1">
      <c r="A102" s="166" t="str">
        <f>IF(VLOOKUP("хвс",АО,3,FALSE)&gt;0,"Холодное водоснабжение",0)</f>
        <v>Холодное водоснабжение</v>
      </c>
      <c r="B102" s="166"/>
      <c r="C102" s="166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8">
        <f>VLOOKUP("хвс",АО,5,FALSE)</f>
        <v>106363.19</v>
      </c>
      <c r="H102" s="167"/>
      <c r="I102" s="167"/>
      <c r="J102" s="167"/>
      <c r="L102" s="171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7300.15</v>
      </c>
      <c r="L103" s="171"/>
      <c r="O103" s="1" t="s">
        <v>124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108042</v>
      </c>
      <c r="L104" s="171"/>
      <c r="O104" s="1" t="s">
        <v>125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71"/>
      <c r="O105" s="1" t="s">
        <v>126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106363.19</v>
      </c>
      <c r="L106" s="171"/>
      <c r="O106" s="1" t="s">
        <v>127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106363.19</v>
      </c>
      <c r="L107" s="171"/>
      <c r="O107" s="1" t="s">
        <v>128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129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130</v>
      </c>
    </row>
    <row r="110" spans="1:15" ht="27" customHeight="1" outlineLevel="1">
      <c r="A110" s="166" t="str">
        <f>IF(VLOOKUP("воо",АО,3,FALSE)&gt;0,"Водоотведение",0)</f>
        <v>Водоотведение</v>
      </c>
      <c r="B110" s="166"/>
      <c r="C110" s="166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8">
        <f>VLOOKUP("воо",АО,5,FALSE)</f>
        <v>173128.49</v>
      </c>
      <c r="H110" s="167"/>
      <c r="I110" s="167"/>
      <c r="J110" s="167"/>
      <c r="L110" s="171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9775.75</v>
      </c>
      <c r="L111" s="171"/>
      <c r="O111" s="1" t="s">
        <v>132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170253.2</v>
      </c>
      <c r="L112" s="171"/>
      <c r="O112" s="1" t="s">
        <v>133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2875.289999999979</v>
      </c>
      <c r="L113" s="171"/>
      <c r="O113" s="1" t="s">
        <v>134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173128.49</v>
      </c>
      <c r="L114" s="171"/>
      <c r="O114" s="1" t="s">
        <v>135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173128.49</v>
      </c>
      <c r="L115" s="171"/>
      <c r="O115" s="1" t="s">
        <v>136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137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138</v>
      </c>
    </row>
    <row r="118" spans="1:15" ht="32.25" customHeight="1" outlineLevel="1">
      <c r="A118" s="166" t="str">
        <f>IF(VLOOKUP("тко",АО,3,FALSE)&gt;0,"Обращение с ТКО",0)</f>
        <v>Обращение с ТКО</v>
      </c>
      <c r="B118" s="166"/>
      <c r="C118" s="166"/>
      <c r="D118" s="167" t="str">
        <f>IF(VLOOKUP("тко",АО,3,FALSE)&gt;0,VLOOKUP("тко",АО,3,FALSE),0)</f>
        <v>Предоставляется</v>
      </c>
      <c r="E118" s="167"/>
      <c r="F118" s="13" t="str">
        <f>IF(VLOOKUP("тко",АО,3,FALSE)&gt;0,VLOOKUP("тко",АО,4,FALSE),0)</f>
        <v>куб.м.</v>
      </c>
      <c r="G118" s="168">
        <f>VLOOKUP("тко",АО,5,FALSE)</f>
        <v>124821.6</v>
      </c>
      <c r="H118" s="167"/>
      <c r="I118" s="167"/>
      <c r="J118" s="167"/>
      <c r="L118" s="48"/>
    </row>
    <row r="119" spans="1:15" ht="32.25" customHeight="1" outlineLevel="2">
      <c r="A119" s="162" t="str">
        <f t="shared" ref="A119:A125" si="8">IF(VLOOKUP("тко",АО,3,FALSE)&gt;0,VLOOKUP(O119,АО,2,FALSE),0)</f>
        <v>Общий объем потребления, нат. показ.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230.98</v>
      </c>
      <c r="L119" s="48"/>
      <c r="O119" s="1" t="s">
        <v>140</v>
      </c>
    </row>
    <row r="120" spans="1:15" ht="32.25" customHeight="1" outlineLevel="2">
      <c r="A120" s="162" t="str">
        <f t="shared" si="8"/>
        <v>Оплачено потребителями, руб.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123516.12</v>
      </c>
      <c r="L120" s="48"/>
      <c r="O120" s="1" t="s">
        <v>141</v>
      </c>
    </row>
    <row r="121" spans="1:15" ht="32.25" customHeight="1" outlineLevel="2">
      <c r="A121" s="162" t="str">
        <f t="shared" si="8"/>
        <v>Задолженность потребителей, руб.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1305.4800000000105</v>
      </c>
      <c r="L121" s="48"/>
      <c r="O121" s="1" t="s">
        <v>142</v>
      </c>
    </row>
    <row r="122" spans="1:15" ht="32.25" customHeight="1" outlineLevel="2">
      <c r="A122" s="162" t="str">
        <f t="shared" si="8"/>
        <v>Начислено поставщиком (поставщиками) коммунального ресурса, руб.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124821.6</v>
      </c>
      <c r="L122" s="48"/>
      <c r="O122" s="1" t="s">
        <v>143</v>
      </c>
    </row>
    <row r="123" spans="1:15" ht="32.25" customHeight="1" outlineLevel="2">
      <c r="A123" s="162" t="str">
        <f t="shared" si="8"/>
        <v>Оплачено поставщику (поставщикам) коммунального ресурса, руб.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124821.6</v>
      </c>
      <c r="L123" s="48"/>
      <c r="O123" s="1" t="s">
        <v>144</v>
      </c>
    </row>
    <row r="124" spans="1:15" ht="32.25" customHeight="1" outlineLevel="2">
      <c r="A124" s="162" t="str">
        <f t="shared" si="8"/>
        <v>Задолженность перед поставщиком (поставщиками) коммунального ресурса, руб.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62" t="str">
        <f t="shared" si="8"/>
        <v>Размер пени и штрафов, уплаченных поставщику (поставщикам) коммунального ресурса, руб.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8">
        <f>VLOOKUP("гвс",АО,5,FALSE)</f>
        <v>0</v>
      </c>
      <c r="H126" s="167"/>
      <c r="I126" s="167"/>
      <c r="J126" s="167"/>
      <c r="L126" s="48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8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172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2</v>
      </c>
      <c r="L145" s="15"/>
      <c r="O145" t="s">
        <v>173</v>
      </c>
    </row>
    <row r="146" spans="1:15" ht="30" customHeight="1" outlineLevel="1">
      <c r="A146" s="162" t="s">
        <v>175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60500</v>
      </c>
      <c r="O146" t="s">
        <v>174</v>
      </c>
    </row>
    <row r="149" spans="1:15" ht="52.5" customHeight="1">
      <c r="A149" s="187" t="s">
        <v>180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9" t="s">
        <v>188</v>
      </c>
      <c r="B154" s="189"/>
      <c r="C154" s="189"/>
      <c r="D154" s="189"/>
      <c r="E154" s="27">
        <f>ПТО!G1</f>
        <v>-433376.27</v>
      </c>
    </row>
    <row r="155" spans="1:15" ht="34.5" customHeight="1">
      <c r="A155" s="188" t="s">
        <v>192</v>
      </c>
      <c r="B155" s="188"/>
      <c r="C155" s="188"/>
      <c r="D155" s="188"/>
      <c r="E155" s="28">
        <f>J13</f>
        <v>238854.81599999999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4" t="str">
        <f t="shared" ref="A158:A163" si="14">IF(N158&gt;0,N158,0)</f>
        <v>Техническое освидетельствование лифта.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8100</v>
      </c>
      <c r="G158" s="169"/>
      <c r="H158" s="24" t="str">
        <f t="shared" ref="H158:H187" si="16">VLOOKUP(A158,$A$28:$J$72,8,FALSE)</f>
        <v>ежегодно</v>
      </c>
      <c r="I158" s="165">
        <f t="shared" ref="I158:I161" si="17">VLOOKUP(A158,$A$28:$J$72,9,FALSE)</f>
        <v>1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4" t="str">
        <f t="shared" si="14"/>
        <v>Техническое обслуживание видеонаблюдения.</v>
      </c>
      <c r="B159" s="164"/>
      <c r="C159" s="164"/>
      <c r="D159" s="164"/>
      <c r="E159" s="164"/>
      <c r="F159" s="169">
        <f t="shared" si="15"/>
        <v>5240</v>
      </c>
      <c r="G159" s="169"/>
      <c r="H159" s="24" t="str">
        <f t="shared" si="16"/>
        <v>ежемесячно</v>
      </c>
      <c r="I159" s="165">
        <f t="shared" si="17"/>
        <v>12</v>
      </c>
      <c r="J159" s="165"/>
      <c r="M159" s="22" t="s">
        <v>72</v>
      </c>
      <c r="N159" s="1" t="str">
        <v>Техническое обслуживание видеонаблюдения.</v>
      </c>
    </row>
    <row r="160" spans="1:15" ht="28.5" customHeight="1">
      <c r="A160" s="164" t="str">
        <f t="shared" si="14"/>
        <v>Механизированная уборка и вывоз снега с придомовой территории.</v>
      </c>
      <c r="B160" s="164"/>
      <c r="C160" s="164"/>
      <c r="D160" s="164"/>
      <c r="E160" s="164"/>
      <c r="F160" s="169">
        <f t="shared" si="15"/>
        <v>25495</v>
      </c>
      <c r="G160" s="169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4" t="str">
        <f>IF(N161&gt;0,N161,0)</f>
        <v>Приобретение и замена шаровых кранов (Ду 100-2шт.) в ИТП.</v>
      </c>
      <c r="B161" s="164"/>
      <c r="C161" s="164"/>
      <c r="D161" s="164"/>
      <c r="E161" s="164"/>
      <c r="F161" s="169">
        <f t="shared" si="15"/>
        <v>12500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Приобретение и замена шаровых кранов (Ду 100-2шт.) в ИТП.</v>
      </c>
    </row>
    <row r="162" spans="1:14" ht="28.5" customHeight="1">
      <c r="A162" s="164" t="str">
        <f t="shared" si="14"/>
        <v>Дополнительная уборка придомовой территории.</v>
      </c>
      <c r="B162" s="164"/>
      <c r="C162" s="164"/>
      <c r="D162" s="164"/>
      <c r="E162" s="164"/>
      <c r="F162" s="169">
        <f t="shared" si="15"/>
        <v>2000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Дополнительная уборка придомовой территории.</v>
      </c>
    </row>
    <row r="163" spans="1:14" ht="28.5" customHeight="1">
      <c r="A163" s="164" t="str">
        <f t="shared" si="14"/>
        <v>Приобретение и замена манометров (10 шт.).</v>
      </c>
      <c r="B163" s="164"/>
      <c r="C163" s="164"/>
      <c r="D163" s="164"/>
      <c r="E163" s="164"/>
      <c r="F163" s="169">
        <f t="shared" si="15"/>
        <v>1590.46</v>
      </c>
      <c r="G163" s="169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Приобретение и замена манометров (10 шт.).</v>
      </c>
    </row>
    <row r="164" spans="1:14" ht="28.5" customHeight="1">
      <c r="A164" s="164" t="str">
        <f t="shared" ref="A164:A187" si="18">IF(N164&gt;0,N164,0)</f>
        <v>Приобретение и замена предохранительных клапанов в ИТП (6 шт.).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670</v>
      </c>
      <c r="G164" s="169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Приобретение и замена предохранительных клапанов в ИТП (6 шт.).</v>
      </c>
    </row>
    <row r="165" spans="1:14" ht="28.5" customHeight="1">
      <c r="A165" s="164" t="str">
        <f t="shared" si="18"/>
        <v>Ремонт подъезда (приобретение керамогранита).</v>
      </c>
      <c r="B165" s="164"/>
      <c r="C165" s="164"/>
      <c r="D165" s="164"/>
      <c r="E165" s="164"/>
      <c r="F165" s="169">
        <f t="shared" si="19"/>
        <v>238140</v>
      </c>
      <c r="G165" s="169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Ремонт подъезда (приобретение керамогранита).</v>
      </c>
    </row>
    <row r="166" spans="1:14" ht="28.5" customHeight="1">
      <c r="A166" s="164" t="str">
        <f t="shared" si="18"/>
        <v>Приобретение и замена регистратора системы видеонаблюдения.</v>
      </c>
      <c r="B166" s="164"/>
      <c r="C166" s="164"/>
      <c r="D166" s="164"/>
      <c r="E166" s="164"/>
      <c r="F166" s="169">
        <f t="shared" si="19"/>
        <v>7678</v>
      </c>
      <c r="G166" s="169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Приобретение и замена регистратора системы видеонаблюдения.</v>
      </c>
    </row>
    <row r="167" spans="1:14" ht="28.5" customHeight="1">
      <c r="A167" s="164" t="str">
        <f t="shared" si="18"/>
        <v>Ремонт подъезда (со 2 по 10 этажи).</v>
      </c>
      <c r="B167" s="164"/>
      <c r="C167" s="164"/>
      <c r="D167" s="164"/>
      <c r="E167" s="164"/>
      <c r="F167" s="169">
        <f t="shared" si="19"/>
        <v>533483</v>
      </c>
      <c r="G167" s="169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Ремонт подъезда (со 2 по 10 этажи).</v>
      </c>
    </row>
    <row r="168" spans="1:14" ht="28.5" hidden="1" customHeight="1">
      <c r="A168" s="164">
        <f t="shared" si="18"/>
        <v>0</v>
      </c>
      <c r="B168" s="164"/>
      <c r="C168" s="164"/>
      <c r="D168" s="164"/>
      <c r="E168" s="164"/>
      <c r="F168" s="169">
        <f t="shared" si="19"/>
        <v>0</v>
      </c>
      <c r="G168" s="169"/>
      <c r="H168" s="29" t="e">
        <f t="shared" si="16"/>
        <v>#N/A</v>
      </c>
      <c r="I168" s="165" t="e">
        <f t="shared" si="20"/>
        <v>#N/A</v>
      </c>
      <c r="J168" s="165"/>
      <c r="M168" s="22" t="s">
        <v>72</v>
      </c>
      <c r="N168" s="1">
        <v>0</v>
      </c>
    </row>
    <row r="169" spans="1:14" ht="28.5" hidden="1" customHeight="1">
      <c r="A169" s="164">
        <f t="shared" si="18"/>
        <v>0</v>
      </c>
      <c r="B169" s="164"/>
      <c r="C169" s="164"/>
      <c r="D169" s="164"/>
      <c r="E169" s="164"/>
      <c r="F169" s="169">
        <f t="shared" si="19"/>
        <v>0</v>
      </c>
      <c r="G169" s="169"/>
      <c r="H169" s="29" t="e">
        <f t="shared" si="16"/>
        <v>#N/A</v>
      </c>
      <c r="I169" s="165" t="e">
        <f t="shared" si="20"/>
        <v>#N/A</v>
      </c>
      <c r="J169" s="165"/>
      <c r="M169" s="22" t="s">
        <v>72</v>
      </c>
      <c r="N169" s="1">
        <v>0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9">
        <f t="shared" si="19"/>
        <v>0</v>
      </c>
      <c r="G170" s="169"/>
      <c r="H170" s="29" t="e">
        <f t="shared" si="16"/>
        <v>#N/A</v>
      </c>
      <c r="I170" s="165" t="e">
        <f t="shared" si="20"/>
        <v>#N/A</v>
      </c>
      <c r="J170" s="165"/>
      <c r="M170" s="22" t="s">
        <v>72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9">
        <f t="shared" si="19"/>
        <v>0</v>
      </c>
      <c r="G171" s="169"/>
      <c r="H171" s="29" t="e">
        <f t="shared" si="16"/>
        <v>#N/A</v>
      </c>
      <c r="I171" s="165" t="e">
        <f t="shared" si="20"/>
        <v>#N/A</v>
      </c>
      <c r="J171" s="165"/>
      <c r="M171" s="22" t="s">
        <v>72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9">
        <f t="shared" si="19"/>
        <v>0</v>
      </c>
      <c r="G172" s="169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9">
        <f t="shared" si="19"/>
        <v>0</v>
      </c>
      <c r="G173" s="169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9">
        <f t="shared" si="19"/>
        <v>0</v>
      </c>
      <c r="G174" s="169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9">
        <f t="shared" si="19"/>
        <v>0</v>
      </c>
      <c r="G175" s="169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9">
        <f t="shared" si="19"/>
        <v>0</v>
      </c>
      <c r="G176" s="169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9">
        <f t="shared" si="19"/>
        <v>0</v>
      </c>
      <c r="G177" s="169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9">
        <f t="shared" si="19"/>
        <v>0</v>
      </c>
      <c r="G178" s="169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9">
        <f t="shared" si="19"/>
        <v>0</v>
      </c>
      <c r="G179" s="169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89" t="s">
        <v>191</v>
      </c>
      <c r="B190" s="189"/>
      <c r="C190" s="189"/>
      <c r="D190" s="189"/>
      <c r="E190" s="27">
        <f>SUM(F158:G187)</f>
        <v>834896.46</v>
      </c>
    </row>
    <row r="191" spans="1:14" ht="51.75" customHeight="1">
      <c r="A191" s="189" t="s">
        <v>190</v>
      </c>
      <c r="B191" s="189"/>
      <c r="C191" s="189"/>
      <c r="D191" s="189"/>
      <c r="E191" s="27">
        <f>E190+E154-E155</f>
        <v>162665.37399999995</v>
      </c>
    </row>
    <row r="192" spans="1:14">
      <c r="A192" s="104" t="s">
        <v>176</v>
      </c>
    </row>
    <row r="193" spans="1:10" ht="62.25" customHeight="1">
      <c r="A193" s="163" t="s">
        <v>189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9">
        <f>ПТО!G12</f>
        <v>1200</v>
      </c>
      <c r="I194" s="50" t="s">
        <v>75</v>
      </c>
    </row>
    <row r="195" spans="1:10" ht="18.75" customHeight="1">
      <c r="A195" s="161" t="str">
        <f>ПТО!F13</f>
        <v xml:space="preserve">  -  техническое освидетельствование лифта</v>
      </c>
      <c r="B195" s="161"/>
      <c r="C195" s="161"/>
      <c r="D195" s="161"/>
      <c r="E195" s="161"/>
      <c r="F195" s="161"/>
      <c r="G195" s="161"/>
      <c r="H195" s="49">
        <f>ПТО!G13</f>
        <v>8100</v>
      </c>
      <c r="I195" s="50" t="s">
        <v>75</v>
      </c>
    </row>
    <row r="196" spans="1:10" ht="18.75" customHeight="1">
      <c r="A196" s="161" t="str">
        <f>ПТО!F14</f>
        <v xml:space="preserve">  -  техническое обслуживание системы видеонаблюдения</v>
      </c>
      <c r="B196" s="161"/>
      <c r="C196" s="161"/>
      <c r="D196" s="161"/>
      <c r="E196" s="161"/>
      <c r="F196" s="161"/>
      <c r="G196" s="161"/>
      <c r="H196" s="49">
        <f>ПТО!G14</f>
        <v>5240</v>
      </c>
      <c r="I196" s="50" t="s">
        <v>75</v>
      </c>
    </row>
    <row r="197" spans="1:10" ht="18.75" customHeight="1">
      <c r="A197" s="161" t="str">
        <f>ПТО!F15</f>
        <v xml:space="preserve">  -  механизированная уборка и вывоз снега с придомовой территории</v>
      </c>
      <c r="B197" s="161"/>
      <c r="C197" s="161"/>
      <c r="D197" s="161"/>
      <c r="E197" s="161"/>
      <c r="F197" s="161"/>
      <c r="G197" s="161"/>
      <c r="H197" s="49">
        <f>ПТО!G15</f>
        <v>40000</v>
      </c>
      <c r="I197" s="50" t="s">
        <v>75</v>
      </c>
    </row>
    <row r="198" spans="1:10" ht="36.75" customHeight="1">
      <c r="A198" s="161" t="str">
        <f>ПТО!F16</f>
        <v xml:space="preserve">  -  монтаж системы видеонаблюдения </v>
      </c>
      <c r="B198" s="161"/>
      <c r="C198" s="161"/>
      <c r="D198" s="161"/>
      <c r="E198" s="161"/>
      <c r="F198" s="161"/>
      <c r="G198" s="161"/>
      <c r="H198" s="49">
        <f>ПТО!G16</f>
        <v>150000</v>
      </c>
      <c r="I198" s="52" t="s">
        <v>75</v>
      </c>
    </row>
    <row r="199" spans="1:10" ht="37.5" customHeight="1">
      <c r="A199" s="161" t="str">
        <f>ПТО!F17</f>
        <v xml:space="preserve">  -  замена задвижек на ИТП</v>
      </c>
      <c r="B199" s="161"/>
      <c r="C199" s="161"/>
      <c r="D199" s="161"/>
      <c r="E199" s="161"/>
      <c r="F199" s="161"/>
      <c r="G199" s="161"/>
      <c r="H199" s="49">
        <f>ПТО!G17</f>
        <v>15000</v>
      </c>
      <c r="I199" s="50" t="s">
        <v>75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49">
        <f>ПТО!G18</f>
        <v>0</v>
      </c>
      <c r="I200" s="50" t="s">
        <v>75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49">
        <f>ПТО!G19</f>
        <v>0</v>
      </c>
      <c r="I201" s="50" t="s">
        <v>75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49">
        <f>ПТО!G20</f>
        <v>0</v>
      </c>
      <c r="I202" s="50" t="s">
        <v>75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9">
        <f>ПТО!G21</f>
        <v>0</v>
      </c>
      <c r="I203" s="50" t="s">
        <v>75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9">
        <f>ПТО!G22</f>
        <v>0</v>
      </c>
      <c r="I204" s="50" t="s">
        <v>75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9">
        <f>ПТО!G23</f>
        <v>0</v>
      </c>
      <c r="I205" s="50" t="s">
        <v>75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9">
        <f>ПТО!G24</f>
        <v>0</v>
      </c>
      <c r="I206" s="50" t="s">
        <v>75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9">
        <f>ПТО!G25</f>
        <v>0</v>
      </c>
      <c r="I207" s="50" t="s">
        <v>75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9">
        <f>ПТО!G26</f>
        <v>0</v>
      </c>
      <c r="I208" s="50" t="s">
        <v>75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9">
        <f>ПТО!G27</f>
        <v>0</v>
      </c>
      <c r="I209" s="50" t="s">
        <v>75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9">
        <f>ПТО!G28</f>
        <v>0</v>
      </c>
      <c r="I210" s="50" t="s">
        <v>75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9">
        <f>ПТО!G29</f>
        <v>0</v>
      </c>
      <c r="I211" s="50" t="s">
        <v>75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9">
        <f>ПТО!G30</f>
        <v>0</v>
      </c>
      <c r="I212" s="50" t="s">
        <v>75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219540</v>
      </c>
      <c r="I214" s="56" t="s">
        <v>79</v>
      </c>
    </row>
  </sheetData>
  <sheetProtection algorithmName="SHA-512" hashValue="3jwYvMH93S/9tWZdtg8iat/xH0S3smSUlFS/bwQw9ocu7/0nih+6NulhYyys3HaJ4qQo6W0KiTteiEnyM8ibAw==" saltValue="LLsqEm98d1YQHHCyfdXmm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2" sqref="D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-433376.27</f>
        <v>-433376.27</v>
      </c>
    </row>
    <row r="2" spans="1:12" ht="18.75" customHeight="1">
      <c r="A2" s="155" t="s">
        <v>73</v>
      </c>
      <c r="B2" s="156" t="s">
        <v>184</v>
      </c>
      <c r="C2" s="157">
        <v>1</v>
      </c>
      <c r="D2" s="158">
        <v>8100</v>
      </c>
      <c r="E2" s="121" t="s">
        <v>207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7" t="s">
        <v>181</v>
      </c>
      <c r="B3" s="148" t="s">
        <v>178</v>
      </c>
      <c r="C3" s="149">
        <v>12</v>
      </c>
      <c r="D3" s="150">
        <v>5240</v>
      </c>
      <c r="E3" s="121" t="s">
        <v>203</v>
      </c>
      <c r="F3" s="30"/>
      <c r="G3" s="30"/>
      <c r="L3" s="33" t="str">
        <f t="shared" si="0"/>
        <v>ТР</v>
      </c>
    </row>
    <row r="4" spans="1:12" ht="18.75" customHeight="1">
      <c r="A4" s="145" t="s">
        <v>186</v>
      </c>
      <c r="B4" s="129" t="s">
        <v>185</v>
      </c>
      <c r="C4" s="43">
        <v>1</v>
      </c>
      <c r="D4" s="47">
        <v>25495</v>
      </c>
      <c r="E4" s="146" t="s">
        <v>202</v>
      </c>
      <c r="F4" s="30"/>
      <c r="G4" s="30"/>
      <c r="L4" s="33" t="str">
        <f t="shared" si="0"/>
        <v>ТР</v>
      </c>
    </row>
    <row r="5" spans="1:12" ht="18.75" customHeight="1">
      <c r="A5" s="141" t="s">
        <v>196</v>
      </c>
      <c r="B5" s="142" t="s">
        <v>185</v>
      </c>
      <c r="C5" s="43">
        <v>1</v>
      </c>
      <c r="D5" s="47">
        <v>12500</v>
      </c>
      <c r="E5" s="45" t="s">
        <v>197</v>
      </c>
      <c r="F5" s="45"/>
      <c r="G5" s="45"/>
      <c r="K5" s="47"/>
      <c r="L5" s="33" t="str">
        <f t="shared" si="0"/>
        <v>ТР</v>
      </c>
    </row>
    <row r="6" spans="1:12" ht="18.75" customHeight="1">
      <c r="A6" s="140" t="s">
        <v>194</v>
      </c>
      <c r="B6" s="139" t="s">
        <v>185</v>
      </c>
      <c r="C6" s="43">
        <v>1</v>
      </c>
      <c r="D6" s="47">
        <v>2000</v>
      </c>
      <c r="E6" s="121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159" t="s">
        <v>210</v>
      </c>
      <c r="B7" s="142" t="s">
        <v>185</v>
      </c>
      <c r="C7" s="43">
        <v>1</v>
      </c>
      <c r="D7" s="47">
        <f>1590.46</f>
        <v>1590.46</v>
      </c>
      <c r="E7" s="121" t="s">
        <v>204</v>
      </c>
      <c r="F7" s="46"/>
      <c r="G7" s="46"/>
      <c r="K7" s="47"/>
      <c r="L7" s="33" t="str">
        <f t="shared" si="0"/>
        <v>ТР</v>
      </c>
    </row>
    <row r="8" spans="1:12" ht="18.75" customHeight="1">
      <c r="A8" s="151" t="s">
        <v>198</v>
      </c>
      <c r="B8" s="152" t="s">
        <v>185</v>
      </c>
      <c r="C8" s="43">
        <v>1</v>
      </c>
      <c r="D8" s="47">
        <v>670</v>
      </c>
      <c r="E8" s="121" t="s">
        <v>205</v>
      </c>
      <c r="F8" s="46"/>
      <c r="G8" s="46"/>
      <c r="K8" s="44"/>
      <c r="L8" s="33" t="str">
        <f t="shared" si="0"/>
        <v>ТР</v>
      </c>
    </row>
    <row r="9" spans="1:12">
      <c r="A9" s="45" t="s">
        <v>195</v>
      </c>
      <c r="B9" s="143" t="s">
        <v>185</v>
      </c>
      <c r="C9" s="43">
        <v>1</v>
      </c>
      <c r="D9" s="47">
        <v>238140</v>
      </c>
      <c r="E9" s="45" t="s">
        <v>201</v>
      </c>
      <c r="F9" s="45"/>
      <c r="G9" s="45"/>
      <c r="K9" s="44"/>
      <c r="L9" s="33" t="str">
        <f t="shared" si="0"/>
        <v>ТР</v>
      </c>
    </row>
    <row r="10" spans="1:12">
      <c r="A10" s="153" t="s">
        <v>200</v>
      </c>
      <c r="B10" s="154" t="s">
        <v>185</v>
      </c>
      <c r="C10" s="43">
        <v>1</v>
      </c>
      <c r="D10" s="47">
        <v>7678</v>
      </c>
      <c r="E10" s="121" t="s">
        <v>206</v>
      </c>
      <c r="L10" s="33" t="str">
        <f t="shared" si="0"/>
        <v>ТР</v>
      </c>
    </row>
    <row r="11" spans="1:12" ht="94.5">
      <c r="A11" s="45" t="s">
        <v>199</v>
      </c>
      <c r="B11" s="144" t="s">
        <v>185</v>
      </c>
      <c r="C11" s="122">
        <v>1</v>
      </c>
      <c r="D11" s="123">
        <v>533483</v>
      </c>
      <c r="E11" s="123" t="s">
        <v>211</v>
      </c>
      <c r="F11" s="111" t="s">
        <v>189</v>
      </c>
      <c r="G11" s="111"/>
      <c r="L11" s="33" t="str">
        <f t="shared" si="0"/>
        <v>ТР</v>
      </c>
    </row>
    <row r="12" spans="1:12" ht="31.5">
      <c r="A12" s="153"/>
      <c r="B12" s="154"/>
      <c r="C12" s="43"/>
      <c r="D12" s="47"/>
      <c r="E12" s="121"/>
      <c r="F12" s="112" t="s">
        <v>74</v>
      </c>
      <c r="G12" s="113">
        <v>1200</v>
      </c>
      <c r="L12" s="33">
        <f t="shared" si="0"/>
        <v>0</v>
      </c>
    </row>
    <row r="13" spans="1:12" ht="31.5">
      <c r="A13" s="132"/>
      <c r="B13" s="129"/>
      <c r="C13" s="43"/>
      <c r="D13" s="47"/>
      <c r="E13" s="121"/>
      <c r="F13" s="112" t="s">
        <v>76</v>
      </c>
      <c r="G13" s="113">
        <v>8100</v>
      </c>
      <c r="L13" s="33">
        <f t="shared" si="0"/>
        <v>0</v>
      </c>
    </row>
    <row r="14" spans="1:12" ht="31.5">
      <c r="A14" s="130"/>
      <c r="B14" s="131"/>
      <c r="C14" s="120"/>
      <c r="D14" s="47"/>
      <c r="E14" s="121"/>
      <c r="F14" s="112" t="s">
        <v>77</v>
      </c>
      <c r="G14" s="114">
        <v>5240</v>
      </c>
      <c r="L14" s="33">
        <f t="shared" si="0"/>
        <v>0</v>
      </c>
    </row>
    <row r="15" spans="1:12" ht="15.75">
      <c r="A15" s="133"/>
      <c r="B15" s="134"/>
      <c r="C15" s="43"/>
      <c r="D15" s="44"/>
      <c r="E15" s="133"/>
      <c r="F15" s="138" t="s">
        <v>187</v>
      </c>
      <c r="G15" s="114">
        <v>40000</v>
      </c>
      <c r="L15" s="33">
        <f t="shared" si="0"/>
        <v>0</v>
      </c>
    </row>
    <row r="16" spans="1:12" ht="15.75">
      <c r="A16" s="133"/>
      <c r="B16" s="134"/>
      <c r="C16" s="43"/>
      <c r="D16" s="44"/>
      <c r="E16" s="133"/>
      <c r="F16" s="160" t="s">
        <v>209</v>
      </c>
      <c r="G16" s="114">
        <v>150000</v>
      </c>
      <c r="L16" s="33">
        <f t="shared" si="0"/>
        <v>0</v>
      </c>
    </row>
    <row r="17" spans="1:12" ht="15.75">
      <c r="A17" s="135"/>
      <c r="B17" s="136"/>
      <c r="C17" s="122"/>
      <c r="D17" s="123"/>
      <c r="E17" s="123"/>
      <c r="F17" s="112" t="s">
        <v>208</v>
      </c>
      <c r="G17" s="113">
        <v>15000</v>
      </c>
      <c r="L17" s="33">
        <f t="shared" si="0"/>
        <v>0</v>
      </c>
    </row>
    <row r="18" spans="1:12">
      <c r="A18" s="30"/>
      <c r="B18" s="121"/>
      <c r="C18" s="121"/>
      <c r="D18" s="121"/>
      <c r="E18" s="121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221135.64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221135.64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67687.319999999992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67687.319999999992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45361.2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45361.2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42526.080000000002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42526.080000000002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12757.800000000001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12757.800000000001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46778.64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46778.64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4"/>
      <c r="C47" s="125"/>
      <c r="D47" s="126"/>
      <c r="E47" s="124">
        <v>427.7</v>
      </c>
      <c r="F47" s="124">
        <v>386.4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27">
        <v>2987.7</v>
      </c>
      <c r="G53" s="128">
        <v>3.48</v>
      </c>
      <c r="H53" s="31">
        <f>G53*E47/F53</f>
        <v>0.49817451551360581</v>
      </c>
      <c r="I53" s="127">
        <f>G53*E47</f>
        <v>1488.396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74.400000000000006</v>
      </c>
      <c r="H54" s="31">
        <f>H53*35.2</f>
        <v>17.535742946078926</v>
      </c>
      <c r="I54" s="31">
        <f>I53/F53</f>
        <v>0.49817451551360581</v>
      </c>
    </row>
    <row r="55" spans="5:16">
      <c r="I55" s="31">
        <f>I54*F54</f>
        <v>37.064183954212275</v>
      </c>
    </row>
    <row r="59" spans="5:16">
      <c r="E59" s="31">
        <v>0.19600000000000001</v>
      </c>
      <c r="F59" s="127">
        <f>F53</f>
        <v>2987.7</v>
      </c>
      <c r="G59" s="128">
        <v>3.2000000000000001E-2</v>
      </c>
      <c r="H59" s="31">
        <f>G59*F47</f>
        <v>12.364799999999999</v>
      </c>
      <c r="I59" s="31">
        <f>G59*F47</f>
        <v>12.364799999999999</v>
      </c>
    </row>
    <row r="60" spans="5:16">
      <c r="H60" s="31">
        <f>H59/F59</f>
        <v>4.1385681293302536E-3</v>
      </c>
      <c r="I60" s="31">
        <f>I59/F59</f>
        <v>4.1385681293302536E-3</v>
      </c>
    </row>
    <row r="61" spans="5:16">
      <c r="H61" s="31">
        <f>H60*35.2</f>
        <v>0.14567759815242493</v>
      </c>
      <c r="I61" s="31">
        <f>I60*F54</f>
        <v>0.30790946882217091</v>
      </c>
    </row>
    <row r="63" spans="5:16">
      <c r="E63" s="31">
        <v>0.19600000000000001</v>
      </c>
      <c r="F63" s="127">
        <f>F53</f>
        <v>2987.7</v>
      </c>
      <c r="G63" s="128">
        <v>3.2000000000000001E-2</v>
      </c>
      <c r="H63" s="31">
        <f>G63*F47</f>
        <v>12.364799999999999</v>
      </c>
      <c r="I63" s="31">
        <f>G59*F47</f>
        <v>12.364799999999999</v>
      </c>
    </row>
    <row r="64" spans="5:16">
      <c r="H64" s="31">
        <f>H63/F63</f>
        <v>4.1385681293302536E-3</v>
      </c>
      <c r="I64" s="31">
        <f>I63/F63</f>
        <v>4.1385681293302536E-3</v>
      </c>
    </row>
    <row r="65" spans="4:13" ht="18.75" customHeight="1">
      <c r="D65" s="99"/>
      <c r="H65" s="31">
        <f>H64*35.2</f>
        <v>0.14567759815242493</v>
      </c>
      <c r="I65" s="31">
        <f>I64*F54</f>
        <v>0.30790946882217091</v>
      </c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27">
        <f>F53</f>
        <v>2987.7</v>
      </c>
      <c r="G66" s="128">
        <v>6.4000000000000001E-2</v>
      </c>
      <c r="H66" s="31">
        <f>G66*F47</f>
        <v>24.729599999999998</v>
      </c>
      <c r="I66" s="31">
        <f>G66*F47</f>
        <v>24.729599999999998</v>
      </c>
      <c r="J66" s="102"/>
      <c r="M66" s="1"/>
    </row>
    <row r="67" spans="4:13" ht="18.75" customHeight="1">
      <c r="D67" s="102"/>
      <c r="H67" s="31">
        <f>H66/F66</f>
        <v>8.2771362586605071E-3</v>
      </c>
      <c r="I67" s="31">
        <f>I66/F66</f>
        <v>8.2771362586605071E-3</v>
      </c>
      <c r="J67" s="102"/>
      <c r="M67" s="1"/>
    </row>
    <row r="68" spans="4:13" ht="18.75" customHeight="1">
      <c r="D68" s="102"/>
      <c r="H68" s="31">
        <f>H67*35.2</f>
        <v>0.29135519630484985</v>
      </c>
      <c r="I68" s="31">
        <f>I67*F54</f>
        <v>0.61581893764434181</v>
      </c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i648ym2STMwNYsHmBpz+5ps8oh+575cG9twfpOmkewlbBzftHULvBfV96mqtLs45bQ9MNU4qw+aK300/sGF5A==" saltValue="j+ogZnzUoD0i8381QCD9v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2953.2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118">
        <v>6.74</v>
      </c>
      <c r="F2" s="119" t="s">
        <v>182</v>
      </c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198122.61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816501.36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f>12.31*12*F1</f>
        <v>436246.70399999997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F1*6.74*12</f>
        <v>238854.81599999999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141399.84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882865.41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882865.41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882865.41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131758.55999999994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2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2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2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2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1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1"/>
      <c r="N26" s="63"/>
    </row>
    <row r="27" spans="1:15" ht="18.75" customHeight="1">
      <c r="A27" s="70" t="s">
        <v>107</v>
      </c>
      <c r="B27" s="75" t="s">
        <v>4</v>
      </c>
      <c r="C27" s="86">
        <v>68445.960000000006</v>
      </c>
      <c r="D27" s="81" t="s">
        <v>60</v>
      </c>
      <c r="E27" s="64"/>
      <c r="F27" s="64"/>
      <c r="G27" s="64"/>
      <c r="H27" s="64"/>
      <c r="I27" s="64"/>
      <c r="J27" s="64"/>
      <c r="M27" s="191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1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1"/>
      <c r="N29" s="63"/>
    </row>
    <row r="30" spans="1:15" ht="18.75" customHeight="1">
      <c r="A30" s="70" t="s">
        <v>110</v>
      </c>
      <c r="B30" s="75" t="s">
        <v>18</v>
      </c>
      <c r="C30" s="86">
        <v>70947.92</v>
      </c>
      <c r="D30" s="81" t="s">
        <v>66</v>
      </c>
      <c r="E30" s="64"/>
      <c r="F30" s="64"/>
      <c r="G30" s="64"/>
      <c r="H30" s="64"/>
      <c r="I30" s="64"/>
      <c r="J30" s="64"/>
      <c r="M30" s="191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1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1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1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1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169</v>
      </c>
      <c r="G37" s="66"/>
      <c r="H37" s="66"/>
      <c r="I37" s="66"/>
      <c r="L37" s="63"/>
      <c r="M37" s="190"/>
      <c r="N37" s="63"/>
      <c r="O37" s="63"/>
    </row>
    <row r="38" spans="1:15" ht="18.75" customHeight="1">
      <c r="A38" s="70" t="s">
        <v>115</v>
      </c>
      <c r="B38" s="78" t="s">
        <v>37</v>
      </c>
      <c r="C38" s="90"/>
      <c r="D38" s="94" t="s">
        <v>167</v>
      </c>
      <c r="E38" s="68"/>
      <c r="G38" s="67"/>
      <c r="H38" s="67"/>
      <c r="L38" s="63"/>
      <c r="M38" s="190"/>
      <c r="N38" s="63"/>
      <c r="O38" s="63"/>
    </row>
    <row r="39" spans="1:15" ht="18.75" customHeight="1">
      <c r="A39" s="70" t="s">
        <v>116</v>
      </c>
      <c r="B39" s="78" t="s">
        <v>38</v>
      </c>
      <c r="C39" s="91"/>
      <c r="D39" s="94" t="s">
        <v>168</v>
      </c>
      <c r="E39" s="68"/>
      <c r="G39" s="67"/>
      <c r="H39" s="67"/>
      <c r="L39" s="63"/>
      <c r="M39" s="190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0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0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0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0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0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106363.19</v>
      </c>
      <c r="F45" s="94" t="s">
        <v>169</v>
      </c>
      <c r="G45" s="66"/>
      <c r="H45" s="66"/>
      <c r="L45" s="63"/>
      <c r="M45" s="190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7300.15</v>
      </c>
      <c r="D46" s="94" t="s">
        <v>170</v>
      </c>
      <c r="E46" s="68"/>
      <c r="G46" s="67"/>
      <c r="H46" s="67"/>
      <c r="L46" s="63"/>
      <c r="M46" s="190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108042</v>
      </c>
      <c r="D47" s="94" t="s">
        <v>168</v>
      </c>
      <c r="E47" s="68"/>
      <c r="G47" s="67"/>
      <c r="H47" s="67"/>
      <c r="L47" s="63"/>
      <c r="M47" s="190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0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106363.19</v>
      </c>
      <c r="D49" s="80" t="s">
        <v>59</v>
      </c>
      <c r="E49" s="68"/>
      <c r="G49" s="67"/>
      <c r="H49" s="67"/>
      <c r="L49" s="63"/>
      <c r="M49" s="190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106363.19</v>
      </c>
      <c r="D50" s="80" t="s">
        <v>59</v>
      </c>
      <c r="E50" s="137"/>
      <c r="G50" s="67"/>
      <c r="H50" s="67"/>
      <c r="L50" s="63"/>
      <c r="M50" s="190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137"/>
      <c r="G51" s="67"/>
      <c r="H51" s="67"/>
      <c r="L51" s="63"/>
      <c r="M51" s="190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137"/>
      <c r="G52" s="67"/>
      <c r="H52" s="67"/>
      <c r="L52" s="63"/>
      <c r="M52" s="190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173128.49</v>
      </c>
      <c r="F53" s="94" t="s">
        <v>169</v>
      </c>
      <c r="G53" s="66"/>
      <c r="H53" s="66"/>
      <c r="L53" s="63"/>
      <c r="M53" s="190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9775.75</v>
      </c>
      <c r="D54" s="94" t="s">
        <v>170</v>
      </c>
      <c r="E54" s="69"/>
      <c r="F54" s="89"/>
      <c r="G54" s="64"/>
      <c r="H54" s="64"/>
      <c r="L54" s="63"/>
      <c r="M54" s="190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170253.2</v>
      </c>
      <c r="D55" s="94" t="s">
        <v>168</v>
      </c>
      <c r="E55" s="69"/>
      <c r="G55" s="64"/>
      <c r="H55" s="64"/>
      <c r="L55" s="63"/>
      <c r="M55" s="190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2875.289999999979</v>
      </c>
      <c r="D56" s="80" t="s">
        <v>59</v>
      </c>
      <c r="E56" s="69"/>
      <c r="G56" s="64"/>
      <c r="H56" s="64"/>
      <c r="L56" s="63"/>
      <c r="M56" s="190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173128.49</v>
      </c>
      <c r="D57" s="80" t="s">
        <v>59</v>
      </c>
      <c r="E57" s="69"/>
      <c r="G57" s="64"/>
      <c r="H57" s="64"/>
      <c r="L57" s="63"/>
      <c r="M57" s="190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173128.49</v>
      </c>
      <c r="D58" s="80" t="s">
        <v>59</v>
      </c>
      <c r="E58" s="69"/>
      <c r="G58" s="64"/>
      <c r="H58" s="64"/>
      <c r="L58" s="63"/>
      <c r="M58" s="190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0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0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124821.6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230.98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123516.12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1305.4800000000105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124821.6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124821.6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/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/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/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8" sqref="B1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60500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2024-03-29T01:35:40Z</dcterms:modified>
</cp:coreProperties>
</file>