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5" i="1"/>
  <c r="G94" i="1"/>
  <c r="K94" i="1"/>
  <c r="A94" i="1" l="1"/>
  <c r="A96" i="1"/>
  <c r="D94" i="1"/>
  <c r="A99" i="1"/>
  <c r="A100" i="1"/>
  <c r="A115" i="1"/>
  <c r="F118" i="1"/>
  <c r="F102" i="1"/>
  <c r="A110" i="1"/>
  <c r="A109" i="1"/>
  <c r="A111" i="1"/>
  <c r="A122" i="1"/>
  <c r="A105" i="1"/>
  <c r="A114" i="1"/>
  <c r="A123" i="1"/>
  <c r="D110" i="1"/>
  <c r="A112" i="1"/>
  <c r="A116" i="1"/>
  <c r="A119" i="1"/>
  <c r="A125" i="1"/>
  <c r="F110" i="1"/>
  <c r="A113" i="1"/>
  <c r="A118" i="1"/>
  <c r="A121" i="1"/>
  <c r="A141" i="1"/>
  <c r="F134" i="1"/>
  <c r="A137" i="1"/>
  <c r="A138" i="1"/>
  <c r="A134" i="1"/>
  <c r="A135" i="1"/>
  <c r="A139" i="1"/>
  <c r="A106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7" i="1" l="1"/>
  <c r="F179" i="1"/>
  <c r="F175" i="1"/>
  <c r="H171" i="1"/>
  <c r="H177" i="1"/>
  <c r="H165" i="1"/>
  <c r="H170" i="1"/>
  <c r="H167" i="1"/>
  <c r="H179" i="1"/>
  <c r="F171" i="1"/>
  <c r="H186" i="1"/>
  <c r="F177" i="1"/>
  <c r="F170" i="1"/>
  <c r="F165" i="1"/>
  <c r="F186" i="1"/>
  <c r="F172" i="1"/>
  <c r="H176" i="1"/>
  <c r="H172" i="1"/>
  <c r="H178" i="1"/>
  <c r="F168" i="1"/>
  <c r="H168" i="1"/>
  <c r="F173" i="1"/>
  <c r="H164" i="1"/>
  <c r="F176" i="1"/>
  <c r="H173" i="1"/>
  <c r="F178" i="1"/>
  <c r="H184" i="1"/>
  <c r="F181" i="1"/>
  <c r="F180" i="1"/>
  <c r="F187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<sst xmlns="http://schemas.openxmlformats.org/spreadsheetml/2006/main" count="556" uniqueCount="206">
  <si>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</si>
  <si>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</si>
  <si>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</si>
  <si>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</si>
  <si>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</si>
  <si>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</si>
  <si>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</si>
  <si>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</si>
  <si>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</si>
  <si>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</si>
  <si>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</si>
  <si>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</si>
  <si>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</si>
  <si>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</si>
  <si>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</si>
  <si>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</si>
  <si>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</si>
  <si>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</si>
  <si>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</si>
  <si>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</si>
  <si>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</si>
  <si>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</si>
  <si>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</si>
  <si>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</si>
  <si>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</si>
  <si>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</si>
  <si>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</si>
  <si>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</si>
  <si>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</si>
  <si>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</si>
  <si>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</si>
  <si>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</si>
  <si>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</si>
  <si>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</si>
  <si>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</si>
  <si>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</si>
  <si>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</si>
  <si>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</si>
  <si>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</si>
  <si>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</si>
  <si>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</si>
  <si>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</si>
  <si>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</si>
  <si>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</si>
  <si>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</si>
  <si>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</si>
  <si>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</si>
  <si>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</si>
  <si>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</si>
  <si>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</si>
  <si>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</si>
  <si>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</si>
  <si>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</si>
  <si>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</si>
  <si>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</si>
  <si>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</si>
  <si>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</si>
  <si>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</si>
  <si>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</si>
  <si>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</si>
  <si>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</si>
  <si>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</si>
  <si>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</si>
  <si>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</si>
  <si>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</si>
  <si>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</si>
  <si>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</si>
  <si>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</si>
  <si>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</si>
  <si>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</si>
  <si>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</si>
  <si>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</si>
  <si>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</si>
  <si>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</si>
  <si>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</si>
  <si>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</si>
  <si>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</si>
  <si>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</si>
  <si>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</si>
  <si>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</si>
  <si>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</si>
  <si>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</si>
  <si>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</si>
  <si>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</si>
  <si>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</si>
  <si>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</si>
  <si>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</si>
  <si>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</si>
  <si>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</si>
  <si>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</si>
  <si>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</si>
  <si>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</si>
  <si>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</si>
  <si>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</si>
  <si>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</si>
  <si>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</si>
  <si>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</si>
  <si>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</si>
  <si>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</si>
  <si>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</si>
  <si>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</si>
  <si>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</si>
  <si>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</si>
  <si>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</si>
  <si>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</si>
  <si>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</si>
  <si>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</si>
  <si>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</si>
  <si>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</si>
  <si>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</si>
  <si>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</si>
  <si>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</si>
  <si>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</si>
  <si>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</si>
  <si>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</si>
  <si>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</si>
  <si>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</si>
  <si>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</si>
  <si>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</si>
  <si>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</si>
  <si>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</si>
  <si>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</si>
  <si>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</si>
  <si>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</si>
  <si>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</si>
  <si>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</si>
  <si>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</si>
  <si>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</si>
  <si>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</si>
  <si>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</si>
  <si>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</si>
  <si>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</si>
  <si>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</si>
  <si>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</si>
  <si>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</si>
  <si>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</si>
  <si>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</si>
  <si>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</si>
  <si>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</si>
  <si>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</si>
  <si>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</si>
  <si>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</si>
  <si>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</si>
  <si>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</si>
  <si>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</si>
  <si>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</si>
  <si>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</si>
  <si>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</si>
  <si>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</si>
  <si>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</si>
  <si>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</si>
  <si>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</si>
  <si>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</si>
  <si>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</si>
  <si>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</si>
  <si>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</si>
  <si>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</si>
  <si>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</si>
  <si>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</si>
  <si>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</si>
  <si>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</si>
  <si>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</si>
  <si>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</si>
  <si>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</si>
  <si>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</si>
  <si>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</si>
  <si>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</si>
  <si>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</si>
  <si>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</si>
  <si>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</si>
  <si>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</si>
  <si>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</si>
  <si>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</si>
  <si>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</si>
  <si>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</si>
  <si>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</si>
  <si>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</si>
  <si>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</t>
  </si>
  <si>
    <t>Отчет об исполнении договора управления многоквартирного дома 
Мамина-Сибиряка, 31 в части текущего ремонта</t>
  </si>
  <si>
    <t>Техническое обслуживание охранной сигнализации ИТП.</t>
  </si>
  <si>
    <t>ежемесячно</t>
  </si>
  <si>
    <t>ежегодно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</si>
  <si>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</si>
  <si>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</si>
  <si>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</si>
  <si>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</si>
  <si>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</si>
  <si>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</si>
  <si>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</si>
  <si>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</si>
  <si>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</si>
  <si>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</si>
  <si>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</si>
  <si>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Промышленная очистка кровли от снега и наледи.</t>
  </si>
  <si>
    <t>АВР 1/23 от 20.02.2023, Решение</t>
  </si>
  <si>
    <t>Приобретение и замена шаровых кранов (Ду65 и Ду50).</t>
  </si>
  <si>
    <t>Приобретение и замена обратного  клапана (Ду 40).</t>
  </si>
  <si>
    <t>Ремонт прибора учета тепловой энергии.</t>
  </si>
  <si>
    <t>АВР 3/23 от 13.06.2023, Решение, счет №4397 от 13.06.2023</t>
  </si>
  <si>
    <t>АВР 4/23 от 07.08.2023, Решение, счет №3312 от 03.08.2023</t>
  </si>
  <si>
    <t>АВР 5/23 от 07.08.2023, Решение, счет №307 от 03.08.2023</t>
  </si>
  <si>
    <t>Приобретение и укладка грязезащитного покрытия в тамбуре.</t>
  </si>
  <si>
    <t>АВР 6/23 от 15.12.2023, Решение</t>
  </si>
  <si>
    <t>АВР 7/23 от 31.12.2023, Решение</t>
  </si>
  <si>
    <t>АВР 8/23 от 28.02.2023, Решение</t>
  </si>
  <si>
    <t>АВР 2/23 от 20.02.2023,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</si>
</sst>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4" fillId="0" borderId="0"/>
  </cellStyleXfs>
  <cellXfs count="1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4" fontId="40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4" fillId="0" borderId="0" xfId="9" applyFont="1" applyFill="1" applyBorder="1" applyAlignment="1">
      <alignment horizontal="center"/>
    </xf>
    <xf numFmtId="1" fontId="14" fillId="0" borderId="0" xfId="9" applyNumberFormat="1" applyFill="1" applyBorder="1" applyAlignment="1">
      <alignment horizontal="center"/>
    </xf>
    <xf numFmtId="4" fontId="14" fillId="0" borderId="0" xfId="9" applyNumberFormat="1" applyFill="1" applyBorder="1" applyAlignment="1"/>
    <xf numFmtId="0" fontId="0" fillId="0" borderId="0" xfId="0" applyFill="1" applyBorder="1"/>
    <xf numFmtId="0" fontId="13" fillId="0" borderId="0" xfId="9" applyFont="1" applyFill="1" applyBorder="1" applyAlignment="1"/>
    <xf numFmtId="0" fontId="12" fillId="0" borderId="0" xfId="9" applyFont="1" applyFill="1" applyBorder="1" applyAlignment="1"/>
    <xf numFmtId="0" fontId="11" fillId="0" borderId="0" xfId="2" applyFont="1" applyFill="1" applyBorder="1" applyAlignment="1"/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49" fontId="23" fillId="3" borderId="0" xfId="0" applyNumberFormat="1" applyFont="1" applyFill="1" applyBorder="1" applyAlignment="1">
      <alignment wrapText="1"/>
    </xf>
    <xf numFmtId="4" fontId="22" fillId="3" borderId="0" xfId="0" applyNumberFormat="1" applyFont="1" applyFill="1"/>
    <xf numFmtId="0" fontId="14" fillId="0" borderId="0" xfId="9" applyFont="1" applyFill="1" applyBorder="1" applyAlignment="1"/>
    <xf numFmtId="4" fontId="0" fillId="0" borderId="0" xfId="0" applyNumberFormat="1" applyBorder="1" applyAlignment="1">
      <alignment horizontal="center"/>
    </xf>
    <xf numFmtId="4" fontId="32" fillId="3" borderId="0" xfId="19" applyNumberFormat="1" applyFont="1" applyFill="1" applyBorder="1" applyAlignment="1">
      <alignment horizontal="left" vertical="center" wrapText="1"/>
    </xf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26" applyFont="1" applyFill="1" applyBorder="1" applyAlignment="1">
      <alignment horizontal="center"/>
    </xf>
    <xf numFmtId="4" fontId="8" fillId="0" borderId="0" xfId="26" applyNumberFormat="1" applyFill="1" applyBorder="1" applyAlignment="1"/>
    <xf numFmtId="4" fontId="22" fillId="0" borderId="0" xfId="0" applyNumberFormat="1" applyFont="1" applyBorder="1"/>
    <xf numFmtId="0" fontId="6" fillId="0" borderId="0" xfId="23" applyFont="1" applyFill="1" applyBorder="1" applyAlignment="1"/>
    <xf numFmtId="0" fontId="9" fillId="0" borderId="0" xfId="23" applyFont="1" applyFill="1" applyBorder="1" applyAlignment="1">
      <alignment horizontal="center"/>
    </xf>
    <xf numFmtId="0" fontId="9" fillId="0" borderId="0" xfId="23" applyNumberFormat="1" applyFill="1" applyBorder="1" applyAlignment="1">
      <alignment horizontal="center"/>
    </xf>
    <xf numFmtId="4" fontId="9" fillId="0" borderId="0" xfId="23" applyNumberFormat="1" applyFill="1" applyBorder="1" applyAlignment="1">
      <alignment vertical="center"/>
    </xf>
    <xf numFmtId="0" fontId="6" fillId="0" borderId="0" xfId="23" applyFont="1" applyFill="1" applyBorder="1"/>
    <xf numFmtId="0" fontId="2" fillId="0" borderId="0" xfId="26" applyFont="1" applyFill="1" applyBorder="1" applyAlignment="1">
      <alignment wrapText="1"/>
    </xf>
    <xf numFmtId="0" fontId="2" fillId="0" borderId="0" xfId="26" applyFont="1" applyFill="1" applyBorder="1" applyAlignment="1">
      <alignment horizontal="center"/>
    </xf>
    <xf numFmtId="0" fontId="2" fillId="0" borderId="0" xfId="26" applyFont="1" applyFill="1" applyBorder="1"/>
    <xf numFmtId="0" fontId="4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4" fillId="0" borderId="0" xfId="27" applyFont="1" applyFill="1" applyBorder="1" applyAlignment="1"/>
    <xf numFmtId="4" fontId="0" fillId="0" borderId="0" xfId="0" applyNumberFormat="1" applyFill="1" applyBorder="1" applyAlignment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15" fillId="0" borderId="0" xfId="5" applyFont="1" applyFill="1" applyBorder="1" applyAlignment="1"/>
    <xf numFmtId="0" fontId="16" fillId="0" borderId="0" xfId="5" applyFill="1" applyBorder="1" applyAlignment="1">
      <alignment horizontal="center"/>
    </xf>
    <xf numFmtId="1" fontId="16" fillId="0" borderId="0" xfId="5" applyNumberFormat="1" applyFill="1" applyBorder="1" applyAlignment="1">
      <alignment horizontal="center"/>
    </xf>
    <xf numFmtId="4" fontId="16" fillId="0" borderId="0" xfId="5" applyNumberFormat="1" applyFill="1" applyBorder="1" applyAlignment="1"/>
    <xf numFmtId="0" fontId="16" fillId="0" borderId="0" xfId="5" applyFill="1" applyBorder="1" applyAlignment="1"/>
    <xf numFmtId="4" fontId="30" fillId="0" borderId="0" xfId="5" applyNumberFormat="1" applyFont="1" applyFill="1" applyBorder="1" applyAlignment="1"/>
    <xf numFmtId="0" fontId="7" fillId="0" borderId="0" xfId="23" applyFont="1" applyFill="1" applyBorder="1" applyAlignment="1"/>
    <xf numFmtId="0" fontId="1" fillId="0" borderId="0" xfId="23" applyFont="1" applyFill="1" applyBorder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6"/>
    <cellStyle name="Обычный 2 3 2" xfId="14"/>
    <cellStyle name="Обычный 2 4" xfId="10"/>
    <cellStyle name="Обычный 2 5" xfId="19"/>
    <cellStyle name="Обычный 2 5 2" xfId="25"/>
    <cellStyle name="Обычный 2 6" xfId="20"/>
    <cellStyle name="Обычный 3" xfId="2"/>
    <cellStyle name="Обычный 3 2" xfId="7"/>
    <cellStyle name="Обычный 3 2 2" xfId="15"/>
    <cellStyle name="Обычный 3 3" xfId="11"/>
    <cellStyle name="Обычный 3 4" xfId="21"/>
    <cellStyle name="Обычный 4" xfId="4"/>
    <cellStyle name="Обычный 4 2" xfId="8"/>
    <cellStyle name="Обычный 4 2 2" xfId="16"/>
    <cellStyle name="Обычный 4 3" xfId="12"/>
    <cellStyle name="Обычный 4 4" xfId="22"/>
    <cellStyle name="Обычный 5" xfId="5"/>
    <cellStyle name="Обычный 5 10" xfId="27"/>
    <cellStyle name="Обычный 5 2" xfId="9"/>
    <cellStyle name="Обычный 5 2 2" xfId="18"/>
    <cellStyle name="Обычный 5 2 3" xfId="24"/>
    <cellStyle name="Обычный 5 3" xfId="17"/>
    <cellStyle name="Обычный 5 4" xfId="13"/>
    <cellStyle name="Обычный 5 5" xfId="23"/>
    <cellStyle name="Обычный 6 3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6" sqref="K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177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6582.26</v>
      </c>
      <c r="K8" s="109"/>
      <c r="L8" s="181"/>
      <c r="M8" s="109"/>
      <c r="N8" s="109"/>
      <c r="O8" s="70" t="s">
        <v>83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9"/>
      <c r="L9" s="181"/>
      <c r="M9" s="109"/>
      <c r="N9" s="109"/>
      <c r="O9" s="70" t="s">
        <v>84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0</v>
      </c>
      <c r="K10" s="109"/>
      <c r="L10" s="181"/>
      <c r="M10" s="109"/>
      <c r="N10" s="109"/>
      <c r="O10" s="70" t="s">
        <v>85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883064.88</v>
      </c>
      <c r="K11" s="109"/>
      <c r="L11" s="181"/>
      <c r="M11" s="109"/>
      <c r="N11" s="109"/>
      <c r="O11" s="70" t="s">
        <v>86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523364.88</v>
      </c>
      <c r="K12" s="109"/>
      <c r="L12" s="181"/>
      <c r="M12" s="109"/>
      <c r="N12" s="109"/>
      <c r="O12" s="70" t="s">
        <v>87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179850</v>
      </c>
      <c r="K13" s="109"/>
      <c r="L13" s="181"/>
      <c r="M13" s="109"/>
      <c r="N13" s="109"/>
      <c r="O13" s="70" t="s">
        <v>88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179850</v>
      </c>
      <c r="K14" s="109"/>
      <c r="L14" s="181"/>
      <c r="M14" s="109"/>
      <c r="N14" s="109"/>
      <c r="O14" s="70" t="s">
        <v>89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929809.87</v>
      </c>
      <c r="K15" s="109"/>
      <c r="L15" s="181"/>
      <c r="M15" s="109"/>
      <c r="N15" s="109"/>
      <c r="O15" s="70" t="s">
        <v>90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929809.87</v>
      </c>
      <c r="K16" s="109"/>
      <c r="L16" s="181"/>
      <c r="M16" s="109"/>
      <c r="N16" s="109"/>
      <c r="O16" s="70" t="s">
        <v>91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9"/>
      <c r="L17" s="181"/>
      <c r="M17" s="109"/>
      <c r="N17" s="109"/>
      <c r="O17" s="70" t="s">
        <v>92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9"/>
      <c r="L18" s="181"/>
      <c r="M18" s="109"/>
      <c r="N18" s="109"/>
      <c r="O18" s="70" t="s">
        <v>93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9"/>
      <c r="L19" s="181"/>
      <c r="M19" s="109"/>
      <c r="N19" s="109"/>
      <c r="O19" s="70" t="s">
        <v>94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9"/>
      <c r="L20" s="181"/>
      <c r="M20" s="109"/>
      <c r="N20" s="109"/>
      <c r="O20" s="70" t="s">
        <v>95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929809.87</v>
      </c>
      <c r="K21" s="109"/>
      <c r="L21" s="181"/>
      <c r="M21" s="109"/>
      <c r="N21" s="109"/>
      <c r="O21" s="70" t="s">
        <v>96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53327.25</v>
      </c>
      <c r="K22" s="109"/>
      <c r="L22" s="181"/>
      <c r="M22" s="109"/>
      <c r="N22" s="109"/>
      <c r="O22" s="70" t="s">
        <v>97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9"/>
      <c r="L23" s="181"/>
      <c r="M23" s="109"/>
      <c r="N23" s="109"/>
      <c r="O23" s="70" t="s">
        <v>98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0</v>
      </c>
      <c r="K24" s="109"/>
      <c r="L24" s="181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229128.96000000002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5">
        <f>ПТО!A40</f>
        <v>0</v>
      </c>
      <c r="B29" s="165"/>
      <c r="C29" s="165"/>
      <c r="D29" s="165"/>
      <c r="E29" s="165"/>
      <c r="F29" s="170" t="e">
        <f>VLOOKUP(A29,ПТО!$A$39:$D$53,2,FALSE)</f>
        <v>#N/A</v>
      </c>
      <c r="G29" s="170"/>
      <c r="H29" s="42" t="e">
        <f>VLOOKUP(A29,ПТО!$A$39:$D$53,3,FALSE)</f>
        <v>#N/A</v>
      </c>
      <c r="I29" s="166" t="e">
        <f>VLOOKUP(A29,ПТО!$A$39:$D$53,4,FALSE)</f>
        <v>#N/A</v>
      </c>
      <c r="J29" s="166"/>
      <c r="K29" s="109"/>
      <c r="L29" s="182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75537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43164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14388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93522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Работы по содержанию лифта (лифтов)</v>
      </c>
      <c r="B35" s="165"/>
      <c r="C35" s="165"/>
      <c r="D35" s="165"/>
      <c r="E35" s="165"/>
      <c r="F35" s="170">
        <f>VLOOKUP(A35,ПТО!$A$39:$D$53,2,FALSE)</f>
        <v>67623.600000000006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9"/>
      <c r="L35" s="182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9"/>
      <c r="L36" s="182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9"/>
      <c r="L37" s="18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9"/>
      <c r="L38" s="18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9"/>
      <c r="L39" s="18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9"/>
      <c r="L40" s="18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9"/>
      <c r="L41" s="18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9"/>
      <c r="L42" s="18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обслуживание охранной сигнализации ИТП.</v>
      </c>
      <c r="B43" s="165"/>
      <c r="C43" s="165"/>
      <c r="D43" s="165"/>
      <c r="E43" s="165"/>
      <c r="F43" s="170">
        <f>VLOOKUP(A43,ПТО!$A$2:$D$31,4,FALSE)</f>
        <v>6000</v>
      </c>
      <c r="G43" s="170"/>
      <c r="H43" s="19" t="str">
        <f>VLOOKUP(A43,ПТО!$A$2:$D$31,2,FALSE)</f>
        <v>ежемесячно</v>
      </c>
      <c r="I43" s="166">
        <f>VLOOKUP(A43,ПТО!$A$2:$D$31,3,FALSE)</f>
        <v>12</v>
      </c>
      <c r="J43" s="166"/>
      <c r="K43" s="109"/>
      <c r="L43" s="182"/>
      <c r="M43" s="115"/>
      <c r="N43" s="109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65" t="str">
        <f>ПТО!A3</f>
        <v>Техническое освидетельствование лифта.</v>
      </c>
      <c r="B44" s="165"/>
      <c r="C44" s="165"/>
      <c r="D44" s="165"/>
      <c r="E44" s="165"/>
      <c r="F44" s="170">
        <f>VLOOKUP(A44,ПТО!$A$2:$D$31,4,FALSE)</f>
        <v>8100</v>
      </c>
      <c r="G44" s="170"/>
      <c r="H44" s="25" t="str">
        <f>VLOOKUP(A44,ПТО!$A$2:$D$31,2,FALSE)</f>
        <v>ежегодно</v>
      </c>
      <c r="I44" s="166">
        <f>VLOOKUP(A44,ПТО!$A$2:$D$31,3,FALSE)</f>
        <v>1</v>
      </c>
      <c r="J44" s="166"/>
      <c r="K44" s="109"/>
      <c r="L44" s="182"/>
      <c r="M44" s="115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65" t="str">
        <f>ПТО!A4</f>
        <v>Промышленная очистка кровли от снега и наледи.</v>
      </c>
      <c r="B45" s="165"/>
      <c r="C45" s="165"/>
      <c r="D45" s="165"/>
      <c r="E45" s="165"/>
      <c r="F45" s="170">
        <f>VLOOKUP(A45,ПТО!$A$2:$D$31,4,FALSE)</f>
        <v>15795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9"/>
      <c r="L45" s="182"/>
      <c r="M45" s="115"/>
      <c r="N45" s="109"/>
      <c r="O45" s="23" t="str">
        <f t="shared" si="1"/>
        <v>Промышленная очистка кровли от снега и наледи.</v>
      </c>
      <c r="R45" s="22" t="s">
        <v>72</v>
      </c>
    </row>
    <row r="46" spans="1:18" ht="51" customHeight="1" outlineLevel="1">
      <c r="A46" s="165" t="str">
        <f>ПТО!A5</f>
        <v>Механизированная уборка и вывоз снега с придомовой территории.</v>
      </c>
      <c r="B46" s="165"/>
      <c r="C46" s="165"/>
      <c r="D46" s="165"/>
      <c r="E46" s="165"/>
      <c r="F46" s="170">
        <f>VLOOKUP(A46,ПТО!$A$2:$D$31,4,FALSE)</f>
        <v>19800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9"/>
      <c r="L46" s="182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65" t="str">
        <f>ПТО!A6</f>
        <v>Приобретение и замена шаровых кранов (Ду65 и Ду50).</v>
      </c>
      <c r="B47" s="165"/>
      <c r="C47" s="165"/>
      <c r="D47" s="165"/>
      <c r="E47" s="165"/>
      <c r="F47" s="170">
        <f>VLOOKUP(A47,ПТО!$A$2:$D$31,4,FALSE)</f>
        <v>3421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9"/>
      <c r="L47" s="182"/>
      <c r="M47" s="115"/>
      <c r="N47" s="109"/>
      <c r="O47" s="23" t="str">
        <f t="shared" si="1"/>
        <v>Приобретение и замена шаровых кранов (Ду65 и Ду50).</v>
      </c>
      <c r="R47" s="22" t="s">
        <v>72</v>
      </c>
    </row>
    <row r="48" spans="1:18" ht="51" customHeight="1" outlineLevel="1">
      <c r="A48" s="165" t="str">
        <f>ПТО!A7</f>
        <v>Приобретение и замена обратного  клапана (Ду 40).</v>
      </c>
      <c r="B48" s="165"/>
      <c r="C48" s="165"/>
      <c r="D48" s="165"/>
      <c r="E48" s="165"/>
      <c r="F48" s="170">
        <f>VLOOKUP(A48,ПТО!$A$2:$D$31,4,FALSE)</f>
        <v>320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9"/>
      <c r="L48" s="182"/>
      <c r="M48" s="115"/>
      <c r="N48" s="109"/>
      <c r="O48" s="23" t="str">
        <f t="shared" si="1"/>
        <v>Приобретение и замена обратного  клапана (Ду 40).</v>
      </c>
      <c r="R48" s="22" t="s">
        <v>72</v>
      </c>
    </row>
    <row r="49" spans="1:18" ht="51" customHeight="1" outlineLevel="1">
      <c r="A49" s="165" t="str">
        <f>ПТО!A8</f>
        <v>Ремонт прибора учета тепловой энергии.</v>
      </c>
      <c r="B49" s="165"/>
      <c r="C49" s="165"/>
      <c r="D49" s="165"/>
      <c r="E49" s="165"/>
      <c r="F49" s="170">
        <f>VLOOKUP(A49,ПТО!$A$2:$D$31,4,FALSE)</f>
        <v>1000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9"/>
      <c r="L49" s="182"/>
      <c r="M49" s="115"/>
      <c r="N49" s="109"/>
      <c r="O49" s="23" t="str">
        <f t="shared" si="1"/>
        <v>Ремонт прибора учета тепловой энергии.</v>
      </c>
      <c r="R49" s="22" t="s">
        <v>72</v>
      </c>
    </row>
    <row r="50" spans="1:18" ht="51" customHeight="1" outlineLevel="1">
      <c r="A50" s="165" t="str">
        <f>ПТО!A9</f>
        <v>Приобретение и укладка грязезащитного покрытия в тамбуре.</v>
      </c>
      <c r="B50" s="165"/>
      <c r="C50" s="165"/>
      <c r="D50" s="165"/>
      <c r="E50" s="165"/>
      <c r="F50" s="170">
        <f>VLOOKUP(A50,ПТО!$A$2:$D$31,4,FALSE)</f>
        <v>2100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9"/>
      <c r="L50" s="182"/>
      <c r="M50" s="115"/>
      <c r="N50" s="109"/>
      <c r="O50" s="23" t="str">
        <f t="shared" si="1"/>
        <v>Приобретение и укладка грязезащитного покрытия в тамбуре.</v>
      </c>
      <c r="R50" s="22" t="s">
        <v>72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70" t="e">
        <f>VLOOKUP(A51,ПТО!$A$2:$D$31,4,FALSE)</f>
        <v>#N/A</v>
      </c>
      <c r="G51" s="170"/>
      <c r="H51" s="25" t="e">
        <f>VLOOKUP(A51,ПТО!$A$2:$D$31,2,FALSE)</f>
        <v>#N/A</v>
      </c>
      <c r="I51" s="166" t="e">
        <f>VLOOKUP(A51,ПТО!$A$2:$D$31,3,FALSE)</f>
        <v>#N/A</v>
      </c>
      <c r="J51" s="166"/>
      <c r="K51" s="109"/>
      <c r="L51" s="182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70" t="e">
        <f>VLOOKUP(A52,ПТО!$A$2:$D$31,4,FALSE)</f>
        <v>#N/A</v>
      </c>
      <c r="G52" s="170"/>
      <c r="H52" s="25" t="e">
        <f>VLOOKUP(A52,ПТО!$A$2:$D$31,2,FALSE)</f>
        <v>#N/A</v>
      </c>
      <c r="I52" s="166" t="e">
        <f>VLOOKUP(A52,ПТО!$A$2:$D$31,3,FALSE)</f>
        <v>#N/A</v>
      </c>
      <c r="J52" s="166"/>
      <c r="K52" s="109"/>
      <c r="L52" s="182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70" t="e">
        <f>VLOOKUP(A53,ПТО!$A$2:$D$31,4,FALSE)</f>
        <v>#N/A</v>
      </c>
      <c r="G53" s="170"/>
      <c r="H53" s="25" t="e">
        <f>VLOOKUP(A53,ПТО!$A$2:$D$31,2,FALSE)</f>
        <v>#N/A</v>
      </c>
      <c r="I53" s="166" t="e">
        <f>VLOOKUP(A53,ПТО!$A$2:$D$31,3,FALSE)</f>
        <v>#N/A</v>
      </c>
      <c r="J53" s="166"/>
      <c r="K53" s="109"/>
      <c r="L53" s="182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9"/>
      <c r="L54" s="18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9"/>
      <c r="L55" s="18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9"/>
      <c r="L56" s="18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9"/>
      <c r="L57" s="18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9"/>
      <c r="L58" s="18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9"/>
      <c r="L59" s="18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9"/>
      <c r="L60" s="18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9"/>
      <c r="L61" s="18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9"/>
      <c r="L62" s="18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9"/>
      <c r="L63" s="18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9"/>
      <c r="L64" s="18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9"/>
      <c r="L65" s="18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9"/>
      <c r="L66" s="18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9"/>
      <c r="L67" s="18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9"/>
      <c r="L68" s="18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9"/>
      <c r="L69" s="18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9"/>
      <c r="L70" s="18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9"/>
      <c r="L72" s="18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85"/>
      <c r="M75" s="109"/>
      <c r="N75" s="109"/>
      <c r="O75" s="70" t="s">
        <v>100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85"/>
      <c r="M76" s="109"/>
      <c r="N76" s="109"/>
      <c r="O76" s="70" t="s">
        <v>101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85"/>
      <c r="M77" s="109"/>
      <c r="N77" s="109"/>
      <c r="O77" s="70" t="s">
        <v>102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85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7">
        <f t="shared" ref="J81:J90" si="2">VLOOKUP(O81,АО,3,FALSE)</f>
        <v>0</v>
      </c>
      <c r="K81" s="109"/>
      <c r="L81" s="171"/>
      <c r="M81" s="109"/>
      <c r="N81" s="109"/>
      <c r="O81" s="70" t="s">
        <v>104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7">
        <f t="shared" si="2"/>
        <v>0</v>
      </c>
      <c r="K82" s="109"/>
      <c r="L82" s="171"/>
      <c r="M82" s="109"/>
      <c r="N82" s="109"/>
      <c r="O82" s="70" t="s">
        <v>105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269486.53999999998</v>
      </c>
      <c r="K83" s="109"/>
      <c r="L83" s="171"/>
      <c r="M83" s="109"/>
      <c r="N83" s="109"/>
      <c r="O83" s="70" t="s">
        <v>106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71"/>
      <c r="M84" s="109"/>
      <c r="N84" s="109"/>
      <c r="O84" s="70" t="s">
        <v>107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71"/>
      <c r="M85" s="109"/>
      <c r="N85" s="109"/>
      <c r="O85" s="70" t="s">
        <v>108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232488.06</v>
      </c>
      <c r="K86" s="109"/>
      <c r="L86" s="171"/>
      <c r="M86" s="109"/>
      <c r="N86" s="109"/>
      <c r="O86" s="70" t="s">
        <v>109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71"/>
      <c r="M87" s="109"/>
      <c r="N87" s="109"/>
      <c r="O87" s="70" t="s">
        <v>110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71"/>
      <c r="M88" s="109"/>
      <c r="N88" s="109"/>
      <c r="O88" s="70" t="s">
        <v>111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71"/>
      <c r="M89" s="109"/>
      <c r="N89" s="109"/>
      <c r="O89" s="70" t="s">
        <v>112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71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9"/>
      <c r="L93" s="109"/>
      <c r="M93" s="109"/>
      <c r="N93" s="109"/>
    </row>
    <row r="94" spans="1:15" hidden="1" outlineLevel="1">
      <c r="A94" s="167">
        <f>IF(VLOOKUP("эл",АО,3,FALSE)&gt;0,"Электроснабжение",0)</f>
        <v>0</v>
      </c>
      <c r="B94" s="167"/>
      <c r="C94" s="167"/>
      <c r="D94" s="168">
        <f>IF(VLOOKUP("эл",АО,3,FALSE)&gt;0,VLOOKUP("эл",АО,3,FALSE),0)</f>
        <v>0</v>
      </c>
      <c r="E94" s="168"/>
      <c r="F94" s="13">
        <f>IF(VLOOKUP("эл",АО,3,FALSE)&gt;0,VLOOKUP("эл",АО,4,FALSE),0)</f>
        <v>0</v>
      </c>
      <c r="G94" s="169">
        <f>VLOOKUP("эл",АО,5,FALSE)</f>
        <v>0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hidden="1" outlineLevel="2">
      <c r="A95" s="184">
        <f>IF(VLOOKUP("эл",АО,3,FALSE)&gt;0,VLOOKUP("эл1",АО,2,FALSE),0)</f>
        <v>0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0</v>
      </c>
      <c r="L95" s="172"/>
      <c r="O95" s="1" t="s">
        <v>114</v>
      </c>
    </row>
    <row r="96" spans="1:15" hidden="1" outlineLevel="2">
      <c r="A96" s="184">
        <f>IF(VLOOKUP("эл",АО,3,FALSE)&gt;0,VLOOKUP("эл2",АО,2,FALSE),0)</f>
        <v>0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0</v>
      </c>
      <c r="L96" s="172"/>
      <c r="O96" s="1" t="s">
        <v>115</v>
      </c>
    </row>
    <row r="97" spans="1:15" hidden="1" outlineLevel="2">
      <c r="A97" s="184">
        <f>IF(VLOOKUP("эл",АО,3,FALSE)&gt;0,VLOOKUP("эл3",АО,2,FALSE),0)</f>
        <v>0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72"/>
      <c r="O97" s="1" t="s">
        <v>116</v>
      </c>
    </row>
    <row r="98" spans="1:15" ht="37.5" hidden="1" customHeight="1" outlineLevel="2">
      <c r="A98" s="184">
        <f>IF(VLOOKUP("эл",АО,3,FALSE)&gt;0,VLOOKUP("эл4",АО,2,FALSE),0)</f>
        <v>0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0</v>
      </c>
      <c r="L98" s="172"/>
      <c r="O98" s="1" t="s">
        <v>117</v>
      </c>
    </row>
    <row r="99" spans="1:15" hidden="1" outlineLevel="2">
      <c r="A99" s="184">
        <f>IF(VLOOKUP("эл",АО,3,FALSE)&gt;0,VLOOKUP("эл5",АО,2,FALSE),0)</f>
        <v>0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0</v>
      </c>
      <c r="L99" s="172"/>
      <c r="O99" s="1" t="s">
        <v>118</v>
      </c>
    </row>
    <row r="100" spans="1:15" ht="39" hidden="1" customHeight="1" outlineLevel="2">
      <c r="A100" s="184">
        <f>IF(VLOOKUP("эл",АО,3,FALSE)&gt;0,VLOOKUP("эл6",АО,2,FALSE),0)</f>
        <v>0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119</v>
      </c>
    </row>
    <row r="101" spans="1:15" ht="34.5" hidden="1" customHeight="1" outlineLevel="2">
      <c r="A101" s="184">
        <f>IF(VLOOKUP("эл",АО,3,FALSE)&gt;0,VLOOKUP("эл7",АО,2,FALSE),0)</f>
        <v>0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120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72744.86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5130.05</v>
      </c>
      <c r="L103" s="172"/>
      <c r="O103" s="1" t="s">
        <v>123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74343.28</v>
      </c>
      <c r="L104" s="172"/>
      <c r="O104" s="1" t="s">
        <v>124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125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72744.86</v>
      </c>
      <c r="L106" s="172"/>
      <c r="O106" s="1" t="s">
        <v>126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72744.86</v>
      </c>
      <c r="L107" s="172"/>
      <c r="O107" s="1" t="s">
        <v>127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128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129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147315.18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8318.19</v>
      </c>
      <c r="L111" s="172"/>
      <c r="O111" s="1" t="s">
        <v>131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156046.68</v>
      </c>
      <c r="L112" s="172"/>
      <c r="O112" s="1" t="s">
        <v>132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0</v>
      </c>
      <c r="L113" s="172"/>
      <c r="O113" s="1" t="s">
        <v>133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147315.18</v>
      </c>
      <c r="L114" s="172"/>
      <c r="O114" s="1" t="s">
        <v>134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147315.18</v>
      </c>
      <c r="L115" s="172"/>
      <c r="O115" s="1" t="s">
        <v>135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136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137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8" t="str">
        <f>IF(VLOOKUP("тко",АО,3,FALSE)&gt;0,VLOOKUP("тко",АО,3,FALSE),0)</f>
        <v>Предоставляется</v>
      </c>
      <c r="E118" s="168"/>
      <c r="F118" s="13" t="str">
        <f>IF(VLOOKUP("тко",АО,3,FALSE)&gt;0,VLOOKUP("тко",АО,4,FALSE),0)</f>
        <v>куб.м.</v>
      </c>
      <c r="G118" s="169">
        <f>VLOOKUP("тко",АО,5,FALSE)</f>
        <v>142528</v>
      </c>
      <c r="H118" s="168"/>
      <c r="I118" s="168"/>
      <c r="J118" s="168"/>
      <c r="L118" s="47"/>
    </row>
    <row r="119" spans="1:15" ht="32.25" customHeight="1" outlineLevel="2">
      <c r="A119" s="163" t="str">
        <f t="shared" ref="A119:A125" si="8">IF(VLOOKUP("тко",АО,3,FALSE)&gt;0,VLOOKUP(O119,АО,2,FALSE),0)</f>
        <v>Общий объем потребления, нат. показ.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263.75</v>
      </c>
      <c r="L119" s="47"/>
      <c r="O119" s="1" t="s">
        <v>139</v>
      </c>
    </row>
    <row r="120" spans="1:15" ht="32.25" customHeight="1" outlineLevel="2">
      <c r="A120" s="163" t="str">
        <f t="shared" si="8"/>
        <v>Оплачено потребителями, руб.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149456.79999999999</v>
      </c>
      <c r="L120" s="47"/>
      <c r="O120" s="1" t="s">
        <v>140</v>
      </c>
    </row>
    <row r="121" spans="1:15" ht="32.25" customHeight="1" outlineLevel="2">
      <c r="A121" s="163" t="str">
        <f t="shared" si="8"/>
        <v>Задолженность потребителей, руб.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3" t="str">
        <f t="shared" si="8"/>
        <v>Начислено поставщиком (поставщиками) коммунального ресурса, руб.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142528</v>
      </c>
      <c r="L122" s="47"/>
      <c r="O122" s="1" t="s">
        <v>142</v>
      </c>
    </row>
    <row r="123" spans="1:15" ht="32.25" customHeight="1" outlineLevel="2">
      <c r="A123" s="163" t="str">
        <f t="shared" si="8"/>
        <v>Оплачено поставщику (поставщикам) коммунального ресурса, руб.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142528</v>
      </c>
      <c r="L123" s="47"/>
      <c r="O123" s="1" t="s">
        <v>143</v>
      </c>
    </row>
    <row r="124" spans="1:15" ht="32.25" customHeight="1" outlineLevel="2">
      <c r="A124" s="163" t="str">
        <f t="shared" si="8"/>
        <v>Задолженность перед поставщиком (поставщиками) коммунального ресурса, руб.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3" t="str">
        <f t="shared" si="8"/>
        <v>Размер пени и штрафов, уплаченных поставщику (поставщикам) коммунального ресурса, руб.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7" t="str">
        <f>IF(VLOOKUP("гвс",АО,3,FALSE)&gt;0,"Горячее водоснабжение",0)</f>
        <v>Горячее водоснабжение</v>
      </c>
      <c r="B126" s="167"/>
      <c r="C126" s="167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9">
        <f>VLOOKUP("гвс",АО,5,FALSE)</f>
        <v>356947.9</v>
      </c>
      <c r="H126" s="168"/>
      <c r="I126" s="168"/>
      <c r="J126" s="168"/>
      <c r="L126" s="47"/>
    </row>
    <row r="127" spans="1:15" ht="32.25" customHeight="1" outlineLevel="2">
      <c r="A127" s="163" t="str">
        <f t="shared" ref="A127:A133" si="10">IF(VLOOKUP("гвс",АО,3,FALSE)&gt;0,VLOOKUP(O127,АО,2,FALSE),0)</f>
        <v>Общий объем потребления, нат. показ.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3381.15</v>
      </c>
      <c r="L127" s="47"/>
      <c r="O127" s="1" t="s">
        <v>147</v>
      </c>
    </row>
    <row r="128" spans="1:15" ht="32.25" customHeight="1" outlineLevel="2">
      <c r="A128" s="163" t="str">
        <f t="shared" si="10"/>
        <v>Оплачено потребителями, руб.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371899.61</v>
      </c>
      <c r="L128" s="47"/>
      <c r="O128" s="1" t="s">
        <v>148</v>
      </c>
    </row>
    <row r="129" spans="1:15" ht="32.25" customHeight="1" outlineLevel="2">
      <c r="A129" s="163" t="str">
        <f t="shared" si="10"/>
        <v>Задолженность потребителей, руб.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63" t="str">
        <f t="shared" si="10"/>
        <v>Начислено поставщиком (поставщиками) коммунального ресурса, руб.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356947.9</v>
      </c>
      <c r="L130" s="47"/>
      <c r="O130" s="1" t="s">
        <v>150</v>
      </c>
    </row>
    <row r="131" spans="1:15" ht="32.25" customHeight="1" outlineLevel="2">
      <c r="A131" s="163" t="str">
        <f t="shared" si="10"/>
        <v>Оплачено поставщику (поставщикам) коммунального ресурса, руб.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356947.9</v>
      </c>
      <c r="L131" s="47"/>
      <c r="O131" s="1" t="s">
        <v>151</v>
      </c>
    </row>
    <row r="132" spans="1:15" ht="32.25" customHeight="1" outlineLevel="2">
      <c r="A132" s="163" t="str">
        <f t="shared" si="10"/>
        <v>Задолженность перед поставщиком (поставщиками) коммунального ресурса, руб.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3" t="str">
        <f t="shared" si="10"/>
        <v>Размер пени и штрафов, уплаченных поставщику (поставщикам) коммунального ресурса, руб.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153</v>
      </c>
    </row>
    <row r="134" spans="1:15" ht="32.25" customHeight="1" outlineLevel="1">
      <c r="A134" s="167" t="str">
        <f>IF(VLOOKUP("отопление",АО,3,FALSE)&gt;0,"Отопление",0)</f>
        <v>Отопление</v>
      </c>
      <c r="B134" s="167"/>
      <c r="C134" s="167"/>
      <c r="D134" s="168" t="str">
        <f>IF(VLOOKUP("отопление",АО,3,FALSE)&gt;0,VLOOKUP("отопление",АО,3,FALSE),0)</f>
        <v>Предоставляется</v>
      </c>
      <c r="E134" s="168"/>
      <c r="F134" s="13" t="str">
        <f>IF(VLOOKUP("отопление",АО,3,FALSE)&gt;0,VLOOKUP("отопление",АО,4,FALSE),0)</f>
        <v>Гкал</v>
      </c>
      <c r="G134" s="169">
        <f>VLOOKUP("отопление",АО,5,FALSE)</f>
        <v>616746.09</v>
      </c>
      <c r="H134" s="168"/>
      <c r="I134" s="168"/>
      <c r="J134" s="168"/>
      <c r="L134" s="47"/>
    </row>
    <row r="135" spans="1:15" ht="32.25" customHeight="1" outlineLevel="2">
      <c r="A135" s="163" t="str">
        <f t="shared" ref="A135:A141" si="12">IF(VLOOKUP("отопление",АО,3,FALSE)&gt;0,VLOOKUP(O135,АО,2,FALSE),0)</f>
        <v>Общий объем потребления, нат. показ.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372.76</v>
      </c>
      <c r="L135" s="47"/>
      <c r="O135" s="1" t="s">
        <v>155</v>
      </c>
    </row>
    <row r="136" spans="1:15" ht="32.25" customHeight="1" outlineLevel="2">
      <c r="A136" s="163" t="str">
        <f t="shared" si="12"/>
        <v>Оплачено потребителями, руб.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621534.14</v>
      </c>
      <c r="L136" s="47"/>
      <c r="O136" s="1" t="s">
        <v>156</v>
      </c>
    </row>
    <row r="137" spans="1:15" ht="32.25" customHeight="1" outlineLevel="2">
      <c r="A137" s="163" t="str">
        <f t="shared" si="12"/>
        <v>Задолженность потребителей, руб.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157</v>
      </c>
    </row>
    <row r="138" spans="1:15" ht="32.25" customHeight="1" outlineLevel="2">
      <c r="A138" s="163" t="str">
        <f t="shared" si="12"/>
        <v>Начислено поставщиком (поставщиками) коммунального ресурса, руб.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616746.09</v>
      </c>
      <c r="L138" s="47"/>
      <c r="O138" s="1" t="s">
        <v>158</v>
      </c>
    </row>
    <row r="139" spans="1:15" ht="32.25" customHeight="1" outlineLevel="2">
      <c r="A139" s="163" t="str">
        <f t="shared" si="12"/>
        <v>Оплачено поставщику (поставщикам) коммунального ресурса, руб.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616746.09</v>
      </c>
      <c r="L139" s="47"/>
      <c r="O139" s="1" t="s">
        <v>159</v>
      </c>
    </row>
    <row r="140" spans="1:15" ht="32.25" customHeight="1" outlineLevel="2">
      <c r="A140" s="163" t="str">
        <f t="shared" si="12"/>
        <v>Задолженность перед поставщиком (поставщиками) коммунального ресурса, руб.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160</v>
      </c>
    </row>
    <row r="141" spans="1:15" ht="32.25" customHeight="1" outlineLevel="2">
      <c r="A141" s="163" t="str">
        <f t="shared" si="12"/>
        <v>Размер пени и штрафов, уплаченных поставщику (поставщикам) коммунального ресурса, руб.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171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10</v>
      </c>
      <c r="L145" s="15"/>
      <c r="O145" t="s">
        <v>172</v>
      </c>
    </row>
    <row r="146" spans="1:15" ht="30" customHeight="1" outlineLevel="1">
      <c r="A146" s="163" t="s">
        <v>174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120723.89</v>
      </c>
      <c r="O146" t="s">
        <v>173</v>
      </c>
    </row>
    <row r="149" spans="1:15" ht="52.5" customHeight="1">
      <c r="A149" s="188" t="s">
        <v>178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0" t="s">
        <v>188</v>
      </c>
      <c r="B154" s="190"/>
      <c r="C154" s="190"/>
      <c r="D154" s="190"/>
      <c r="E154" s="27">
        <f>ПТО!G1</f>
        <v>-295362.34000000003</v>
      </c>
    </row>
    <row r="155" spans="1:15" ht="34.5" customHeight="1">
      <c r="A155" s="189" t="s">
        <v>192</v>
      </c>
      <c r="B155" s="189"/>
      <c r="C155" s="189"/>
      <c r="D155" s="189"/>
      <c r="E155" s="28">
        <f>J13</f>
        <v>179850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Техническое обслуживание охранной сигнализации ИТП.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6000</v>
      </c>
      <c r="G158" s="170"/>
      <c r="H158" s="24" t="str">
        <f t="shared" ref="H158:H187" si="16">VLOOKUP(A158,$A$28:$J$72,8,FALSE)</f>
        <v>ежемесячно</v>
      </c>
      <c r="I158" s="166">
        <f t="shared" ref="I158:I161" si="17">VLOOKUP(A158,$A$28:$J$72,9,FALSE)</f>
        <v>12</v>
      </c>
      <c r="J158" s="16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65" t="str">
        <f t="shared" si="14"/>
        <v>Техническое освидетельствование лифта.</v>
      </c>
      <c r="B159" s="165"/>
      <c r="C159" s="165"/>
      <c r="D159" s="165"/>
      <c r="E159" s="165"/>
      <c r="F159" s="170">
        <f t="shared" si="15"/>
        <v>8100</v>
      </c>
      <c r="G159" s="170"/>
      <c r="H159" s="24" t="str">
        <f t="shared" si="16"/>
        <v>ежегодно</v>
      </c>
      <c r="I159" s="166">
        <f t="shared" si="17"/>
        <v>1</v>
      </c>
      <c r="J159" s="166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65" t="str">
        <f t="shared" si="14"/>
        <v>Промышленная очистка кровли от снега и наледи.</v>
      </c>
      <c r="B160" s="165"/>
      <c r="C160" s="165"/>
      <c r="D160" s="165"/>
      <c r="E160" s="165"/>
      <c r="F160" s="170">
        <f t="shared" si="15"/>
        <v>15795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Промышленная очистка кровли от снега и наледи.</v>
      </c>
    </row>
    <row r="161" spans="1:14" ht="28.5" customHeight="1">
      <c r="A161" s="165" t="str">
        <f>IF(N161&gt;0,N161,0)</f>
        <v>Механизированная уборка и вывоз снега с придомовой территории.</v>
      </c>
      <c r="B161" s="165"/>
      <c r="C161" s="165"/>
      <c r="D161" s="165"/>
      <c r="E161" s="165"/>
      <c r="F161" s="170">
        <f t="shared" si="15"/>
        <v>19800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65" t="str">
        <f t="shared" si="14"/>
        <v>Приобретение и замена шаровых кранов (Ду65 и Ду50).</v>
      </c>
      <c r="B162" s="165"/>
      <c r="C162" s="165"/>
      <c r="D162" s="165"/>
      <c r="E162" s="165"/>
      <c r="F162" s="170">
        <f t="shared" si="15"/>
        <v>3421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Приобретение и замена шаровых кранов (Ду65 и Ду50).</v>
      </c>
    </row>
    <row r="163" spans="1:14" ht="28.5" customHeight="1">
      <c r="A163" s="165" t="str">
        <f t="shared" si="14"/>
        <v>Приобретение и замена обратного  клапана (Ду 40).</v>
      </c>
      <c r="B163" s="165"/>
      <c r="C163" s="165"/>
      <c r="D163" s="165"/>
      <c r="E163" s="165"/>
      <c r="F163" s="170">
        <f t="shared" si="15"/>
        <v>320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Приобретение и замена обратного  клапана (Ду 40).</v>
      </c>
    </row>
    <row r="164" spans="1:14" ht="28.5" customHeight="1">
      <c r="A164" s="165" t="str">
        <f t="shared" ref="A164:A187" si="18">IF(N164&gt;0,N164,0)</f>
        <v>Ремонт прибора учета тепловой энергии.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1000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Ремонт прибора учета тепловой энергии.</v>
      </c>
    </row>
    <row r="165" spans="1:14" ht="28.5" customHeight="1">
      <c r="A165" s="165" t="str">
        <f t="shared" si="18"/>
        <v>Приобретение и укладка грязезащитного покрытия в тамбуре.</v>
      </c>
      <c r="B165" s="165"/>
      <c r="C165" s="165"/>
      <c r="D165" s="165"/>
      <c r="E165" s="165"/>
      <c r="F165" s="170">
        <f t="shared" si="19"/>
        <v>2100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72</v>
      </c>
      <c r="N165" s="1" t="str">
        <v>Приобретение и укладка грязезащитного покрытия в тамбуре.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70">
        <f t="shared" si="19"/>
        <v>0</v>
      </c>
      <c r="G166" s="170"/>
      <c r="H166" s="29" t="e">
        <f t="shared" si="16"/>
        <v>#N/A</v>
      </c>
      <c r="I166" s="166" t="e">
        <f t="shared" si="20"/>
        <v>#N/A</v>
      </c>
      <c r="J166" s="166"/>
      <c r="M166" s="22" t="s">
        <v>72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70">
        <f t="shared" si="19"/>
        <v>0</v>
      </c>
      <c r="G167" s="170"/>
      <c r="H167" s="29" t="e">
        <f t="shared" si="16"/>
        <v>#N/A</v>
      </c>
      <c r="I167" s="166" t="e">
        <f t="shared" si="20"/>
        <v>#N/A</v>
      </c>
      <c r="J167" s="166"/>
      <c r="M167" s="22" t="s">
        <v>72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70">
        <f t="shared" si="19"/>
        <v>0</v>
      </c>
      <c r="G168" s="170"/>
      <c r="H168" s="29" t="e">
        <f t="shared" si="16"/>
        <v>#N/A</v>
      </c>
      <c r="I168" s="166" t="e">
        <f t="shared" si="20"/>
        <v>#N/A</v>
      </c>
      <c r="J168" s="166"/>
      <c r="M168" s="22" t="s">
        <v>72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0" t="s">
        <v>191</v>
      </c>
      <c r="B190" s="190"/>
      <c r="C190" s="190"/>
      <c r="D190" s="190"/>
      <c r="E190" s="27">
        <f>SUM(F158:G187)</f>
        <v>56536</v>
      </c>
    </row>
    <row r="191" spans="1:14" ht="51.75" customHeight="1">
      <c r="A191" s="190" t="s">
        <v>190</v>
      </c>
      <c r="B191" s="190"/>
      <c r="C191" s="190"/>
      <c r="D191" s="190"/>
      <c r="E191" s="27">
        <f>E190+E154-E155</f>
        <v>-418676.34</v>
      </c>
    </row>
    <row r="192" spans="1:14">
      <c r="A192" s="104" t="s">
        <v>175</v>
      </c>
    </row>
    <row r="193" spans="1:10" ht="62.25" customHeight="1">
      <c r="A193" s="164" t="s">
        <v>189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75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49">
        <f>ПТО!G13</f>
        <v>8100</v>
      </c>
      <c r="I195" s="50" t="s">
        <v>75</v>
      </c>
    </row>
    <row r="196" spans="1:10" ht="18.75" customHeight="1">
      <c r="A196" s="162" t="str">
        <f>ПТО!F14</f>
        <v xml:space="preserve">  -  техническое обслуживание охранной сигнализации</v>
      </c>
      <c r="B196" s="162"/>
      <c r="C196" s="162"/>
      <c r="D196" s="162"/>
      <c r="E196" s="162"/>
      <c r="F196" s="162"/>
      <c r="G196" s="162"/>
      <c r="H196" s="49">
        <f>ПТО!G14</f>
        <v>6000</v>
      </c>
      <c r="I196" s="50" t="s">
        <v>75</v>
      </c>
    </row>
    <row r="197" spans="1:10" ht="18.75" customHeight="1">
      <c r="A197" s="162" t="str">
        <f>ПТО!F15</f>
        <v xml:space="preserve">  -  ремонт подъезда</v>
      </c>
      <c r="B197" s="162"/>
      <c r="C197" s="162"/>
      <c r="D197" s="162"/>
      <c r="E197" s="162"/>
      <c r="F197" s="162"/>
      <c r="G197" s="162"/>
      <c r="H197" s="49">
        <f>ПТО!G15</f>
        <v>500000</v>
      </c>
      <c r="I197" s="50" t="s">
        <v>75</v>
      </c>
    </row>
    <row r="198" spans="1:10" ht="36" customHeight="1">
      <c r="A198" s="162" t="str">
        <f>ПТО!F16</f>
        <v xml:space="preserve">  -  механизированная уборка и вывоз снега с придомовой территории</v>
      </c>
      <c r="B198" s="162"/>
      <c r="C198" s="162"/>
      <c r="D198" s="162"/>
      <c r="E198" s="162"/>
      <c r="F198" s="162"/>
      <c r="G198" s="162"/>
      <c r="H198" s="49">
        <f>ПТО!G16</f>
        <v>20000</v>
      </c>
      <c r="I198" s="52" t="s">
        <v>75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49">
        <f>ПТО!G17</f>
        <v>0</v>
      </c>
      <c r="I199" s="50" t="s">
        <v>75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49">
        <f>ПТО!G18</f>
        <v>0</v>
      </c>
      <c r="I200" s="50" t="s">
        <v>75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9">
        <f>ПТО!G19</f>
        <v>0</v>
      </c>
      <c r="I201" s="50" t="s">
        <v>75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9">
        <f>ПТО!G20</f>
        <v>0</v>
      </c>
      <c r="I202" s="50" t="s">
        <v>75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75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75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75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75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75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75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75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75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75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75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535300</v>
      </c>
      <c r="I214" s="56" t="s">
        <v>78</v>
      </c>
    </row>
  </sheetData>
  <sheetProtection algorithmName="SHA-512" hashValue="vFu9IKY0DZmc4V98uCBVp/ywCaUtyrAGSptPQ+1zFFLSN3j5avRTGS1aXtgcd1+SvdCRAM5nWJO7X8xP7N+sWg==" saltValue="y/n51Lo4WMO2Zbp4Bb0yR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3" sqref="B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-295362.34</f>
        <v>-295362.34000000003</v>
      </c>
    </row>
    <row r="2" spans="1:12" ht="18.75" customHeight="1">
      <c r="A2" s="154" t="s">
        <v>179</v>
      </c>
      <c r="B2" s="155" t="s">
        <v>180</v>
      </c>
      <c r="C2" s="156">
        <v>12</v>
      </c>
      <c r="D2" s="157">
        <v>6000</v>
      </c>
      <c r="E2" s="123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8" t="s">
        <v>73</v>
      </c>
      <c r="B3" s="155" t="s">
        <v>181</v>
      </c>
      <c r="C3" s="155">
        <v>1</v>
      </c>
      <c r="D3" s="159">
        <v>8100</v>
      </c>
      <c r="E3" s="123" t="s">
        <v>204</v>
      </c>
      <c r="F3" s="30"/>
      <c r="G3" s="30"/>
      <c r="L3" s="33" t="str">
        <f t="shared" si="0"/>
        <v>ТР</v>
      </c>
    </row>
    <row r="4" spans="1:12" ht="18.75" customHeight="1">
      <c r="A4" s="139" t="s">
        <v>193</v>
      </c>
      <c r="B4" s="140" t="s">
        <v>185</v>
      </c>
      <c r="C4" s="141">
        <v>1</v>
      </c>
      <c r="D4" s="142">
        <v>15795</v>
      </c>
      <c r="E4" s="143" t="s">
        <v>194</v>
      </c>
      <c r="F4" s="30"/>
      <c r="G4" s="30"/>
      <c r="L4" s="33" t="str">
        <f t="shared" si="0"/>
        <v>ТР</v>
      </c>
    </row>
    <row r="5" spans="1:12" ht="18.75" customHeight="1">
      <c r="A5" s="160" t="s">
        <v>186</v>
      </c>
      <c r="B5" s="140" t="s">
        <v>185</v>
      </c>
      <c r="C5" s="141">
        <v>1</v>
      </c>
      <c r="D5" s="142">
        <v>19800</v>
      </c>
      <c r="E5" s="161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47" t="s">
        <v>195</v>
      </c>
      <c r="B6" s="148" t="s">
        <v>185</v>
      </c>
      <c r="C6" s="149">
        <v>1</v>
      </c>
      <c r="D6" s="46">
        <v>3421</v>
      </c>
      <c r="E6" s="123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50" t="s">
        <v>196</v>
      </c>
      <c r="B7" s="118" t="s">
        <v>185</v>
      </c>
      <c r="C7" s="118">
        <v>1</v>
      </c>
      <c r="D7" s="151">
        <v>320</v>
      </c>
      <c r="E7" s="119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52" t="s">
        <v>197</v>
      </c>
      <c r="B8" s="153" t="s">
        <v>185</v>
      </c>
      <c r="C8" s="149">
        <v>1</v>
      </c>
      <c r="D8" s="46">
        <v>1000</v>
      </c>
      <c r="E8" s="123" t="s">
        <v>200</v>
      </c>
      <c r="F8" s="45"/>
      <c r="G8" s="45"/>
      <c r="K8" s="43"/>
      <c r="L8" s="33" t="str">
        <f t="shared" si="0"/>
        <v>ТР</v>
      </c>
    </row>
    <row r="9" spans="1:12" ht="30">
      <c r="A9" s="144" t="s">
        <v>201</v>
      </c>
      <c r="B9" s="145" t="s">
        <v>185</v>
      </c>
      <c r="C9" s="136">
        <v>1</v>
      </c>
      <c r="D9" s="137">
        <v>2100</v>
      </c>
      <c r="E9" s="146" t="s">
        <v>202</v>
      </c>
      <c r="F9" s="44"/>
      <c r="G9" s="44"/>
      <c r="K9" s="43"/>
      <c r="L9" s="33" t="str">
        <f t="shared" si="0"/>
        <v>ТР</v>
      </c>
    </row>
    <row r="10" spans="1:12">
      <c r="A10" s="126"/>
      <c r="B10" s="118"/>
      <c r="C10" s="118"/>
      <c r="D10" s="46"/>
      <c r="E10" s="123"/>
      <c r="L10" s="33">
        <f t="shared" si="0"/>
        <v>0</v>
      </c>
    </row>
    <row r="11" spans="1:12" ht="94.5">
      <c r="A11" s="124"/>
      <c r="B11" s="120"/>
      <c r="C11" s="121"/>
      <c r="D11" s="122"/>
      <c r="E11" s="119"/>
      <c r="F11" s="111" t="s">
        <v>189</v>
      </c>
      <c r="G11" s="111"/>
      <c r="L11" s="33">
        <f t="shared" si="0"/>
        <v>0</v>
      </c>
    </row>
    <row r="12" spans="1:12" ht="31.5">
      <c r="A12" s="125"/>
      <c r="B12" s="120"/>
      <c r="C12" s="121"/>
      <c r="D12" s="122"/>
      <c r="E12" s="119"/>
      <c r="F12" s="112" t="s">
        <v>74</v>
      </c>
      <c r="G12" s="113">
        <v>1200</v>
      </c>
      <c r="L12" s="33">
        <f t="shared" si="0"/>
        <v>0</v>
      </c>
    </row>
    <row r="13" spans="1:12" ht="31.5">
      <c r="A13" s="132"/>
      <c r="B13" s="120"/>
      <c r="C13" s="121"/>
      <c r="D13" s="122"/>
      <c r="E13" s="119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27" t="s">
        <v>183</v>
      </c>
      <c r="G14" s="129">
        <v>6000</v>
      </c>
      <c r="L14" s="33">
        <f t="shared" si="0"/>
        <v>0</v>
      </c>
    </row>
    <row r="15" spans="1:12" ht="15.75">
      <c r="A15" s="30"/>
      <c r="F15" s="130" t="s">
        <v>184</v>
      </c>
      <c r="G15" s="131">
        <v>500000</v>
      </c>
      <c r="L15" s="33">
        <f t="shared" si="0"/>
        <v>0</v>
      </c>
    </row>
    <row r="16" spans="1:12" ht="31.5">
      <c r="A16" s="30"/>
      <c r="F16" s="127" t="s">
        <v>187</v>
      </c>
      <c r="G16" s="138">
        <v>20000</v>
      </c>
      <c r="L16" s="33">
        <f t="shared" si="0"/>
        <v>0</v>
      </c>
    </row>
    <row r="17" spans="1:12" ht="15.75">
      <c r="A17" s="30"/>
      <c r="F17" s="127"/>
      <c r="G17" s="128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7">
        <v>229128.96000000002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229128.96000000002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17">
        <v>75537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75537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43164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14388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14388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17">
        <v>93522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93522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67623.600000000006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67623.600000000006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33"/>
      <c r="C48" s="134"/>
      <c r="D48" s="48"/>
      <c r="E48" s="133">
        <v>832</v>
      </c>
      <c r="F48" s="133">
        <v>400.9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a1LsVJk+aj3e+VjOfPk4s+v3I+bQylRqUrtX5EGHaPBLu9lCgtkxyOf9vhX7/J1z/L9yrNRelEwlDkKpc/COA==" saltValue="w5W7T9bT+nBPL/CJICis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2997.5</v>
      </c>
    </row>
    <row r="2" spans="1:10" ht="15.75" customHeight="1">
      <c r="A2" s="70" t="s">
        <v>83</v>
      </c>
      <c r="B2" s="72" t="s">
        <v>2</v>
      </c>
      <c r="C2" s="83">
        <v>6582.26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883064.88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523364.88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179850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179850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929809.87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929809.87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929809.87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53327.25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106</v>
      </c>
      <c r="B27" s="75" t="s">
        <v>4</v>
      </c>
      <c r="C27" s="86">
        <v>269486.53999999998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109</v>
      </c>
      <c r="B30" s="75" t="s">
        <v>18</v>
      </c>
      <c r="C30" s="86">
        <v>232488.06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72744.86</v>
      </c>
      <c r="F45" s="94" t="s">
        <v>168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5130.05</v>
      </c>
      <c r="D46" s="94" t="s">
        <v>169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74343.28</v>
      </c>
      <c r="D47" s="94" t="s">
        <v>167</v>
      </c>
      <c r="E47" s="135"/>
      <c r="G47" s="67"/>
      <c r="H47" s="67"/>
      <c r="L47" s="63"/>
      <c r="M47" s="191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135"/>
      <c r="G48" s="67"/>
      <c r="H48" s="67"/>
      <c r="L48" s="63"/>
      <c r="M48" s="191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72744.86</v>
      </c>
      <c r="D49" s="80" t="s">
        <v>59</v>
      </c>
      <c r="E49" s="135"/>
      <c r="G49" s="67"/>
      <c r="H49" s="67"/>
      <c r="L49" s="63"/>
      <c r="M49" s="191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72744.86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147315.18</v>
      </c>
      <c r="F53" s="94" t="s">
        <v>168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8318.19</v>
      </c>
      <c r="D54" s="94" t="s">
        <v>169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156046.68</v>
      </c>
      <c r="D55" s="94" t="s">
        <v>167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147315.18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147315.18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142528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263.75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149456.79999999999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142528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142528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356947.9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3381.15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371899.61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356947.9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356947.9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 t="str">
        <f>IF(E77&gt;0,"Предоставляется",0)</f>
        <v>Предоставляется</v>
      </c>
      <c r="D77" s="96" t="s">
        <v>82</v>
      </c>
      <c r="E77" s="95">
        <v>616746.09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372.76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621534.14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616746.09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616746.09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120723.89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2024-03-28T05:27:06Z</dcterms:modified>
</cp:coreProperties>
</file>