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G1" i="2" l="1"/>
  <c r="F64" i="2" l="1"/>
  <c r="F60" i="2"/>
  <c r="H64" i="2"/>
  <c r="H65" i="2" s="1"/>
  <c r="H66" i="2" s="1"/>
  <c r="H60" i="2"/>
  <c r="H61" i="2" s="1"/>
  <c r="H62" i="2" s="1"/>
  <c r="H54" i="2"/>
  <c r="H55" i="2" s="1"/>
  <c r="J141" i="1" l="1"/>
  <c r="J136" i="1"/>
  <c r="J135" i="1"/>
  <c r="G134" i="1"/>
  <c r="J133" i="1"/>
  <c r="J128" i="1"/>
  <c r="J127" i="1"/>
  <c r="G126" i="1"/>
  <c r="C37" i="3"/>
  <c r="A97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5" i="1"/>
  <c r="G94" i="1"/>
  <c r="F94" i="1"/>
  <c r="D94" i="1"/>
  <c r="A94" i="1"/>
  <c r="K94" i="1"/>
  <c r="F102" i="1" l="1"/>
  <c r="A96" i="1"/>
  <c r="A113" i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5" i="1" s="1"/>
  <c r="A165" i="1" s="1"/>
  <c r="I165" i="1" s="1"/>
  <c r="O28" i="1"/>
  <c r="N160" i="1" l="1"/>
  <c r="A160" i="1" s="1"/>
  <c r="N159" i="1"/>
  <c r="A159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F165" i="1"/>
  <c r="H165" i="1"/>
  <c r="E155" i="1"/>
  <c r="F182" i="1" l="1"/>
  <c r="F184" i="1"/>
  <c r="H170" i="1"/>
  <c r="H180" i="1"/>
  <c r="H185" i="1"/>
  <c r="H177" i="1"/>
  <c r="F186" i="1"/>
  <c r="H178" i="1"/>
  <c r="F175" i="1"/>
  <c r="F167" i="1"/>
  <c r="F173" i="1"/>
  <c r="F185" i="1"/>
  <c r="F178" i="1"/>
  <c r="H175" i="1"/>
  <c r="F166" i="1"/>
  <c r="H167" i="1"/>
  <c r="H182" i="1"/>
  <c r="F170" i="1"/>
  <c r="H168" i="1"/>
  <c r="F181" i="1"/>
  <c r="F177" i="1"/>
  <c r="F176" i="1"/>
  <c r="F164" i="1"/>
  <c r="H181" i="1"/>
  <c r="F172" i="1"/>
  <c r="F171" i="1"/>
  <c r="H171" i="1"/>
  <c r="H166" i="1"/>
  <c r="H173" i="1"/>
  <c r="H172" i="1"/>
  <c r="F187" i="1"/>
  <c r="H179" i="1"/>
  <c r="H169" i="1"/>
  <c r="F169" i="1"/>
  <c r="F168" i="1"/>
  <c r="F180" i="1"/>
  <c r="H176" i="1"/>
  <c r="H174" i="1"/>
  <c r="H187" i="1"/>
  <c r="F174" i="1"/>
  <c r="F183" i="1"/>
  <c r="H183" i="1"/>
  <c r="H186" i="1"/>
  <c r="F179" i="1"/>
  <c r="H164" i="1"/>
  <c r="H184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<sst xmlns="http://schemas.openxmlformats.org/spreadsheetml/2006/main" count="598" uniqueCount="232">
  <si>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</si>
  <si>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</si>
  <si>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</si>
  <si>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</si>
  <si>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</si>
  <si>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</si>
  <si>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</si>
  <si>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</si>
  <si>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</si>
  <si>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</si>
  <si>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</si>
  <si>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</si>
  <si>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</si>
  <si>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</si>
  <si>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</si>
  <si>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</si>
  <si>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</si>
  <si>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</si>
  <si>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</si>
  <si>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</si>
  <si>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</si>
  <si>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</si>
  <si>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</si>
  <si>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</si>
  <si>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</si>
  <si>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</si>
  <si>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</si>
  <si>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</si>
  <si>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</si>
  <si>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</si>
  <si>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</si>
  <si>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</si>
  <si>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</si>
  <si>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</si>
  <si>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</si>
  <si>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</si>
  <si>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</si>
  <si>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</si>
  <si>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</si>
  <si>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</si>
  <si>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</si>
  <si>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</si>
  <si>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</si>
  <si>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</si>
  <si>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</si>
  <si>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</si>
  <si>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</si>
  <si>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</si>
  <si>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</si>
  <si>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</si>
  <si>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</si>
  <si>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</si>
  <si>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</si>
  <si>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</si>
  <si>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</si>
  <si>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</si>
  <si>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</si>
  <si>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</si>
  <si>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</si>
  <si>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</si>
  <si>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</si>
  <si>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</si>
  <si>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</si>
  <si>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</si>
  <si>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</si>
  <si>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</si>
  <si>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</si>
  <si>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</si>
  <si>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</si>
  <si>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</si>
  <si>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</si>
  <si>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</si>
  <si>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</si>
  <si>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</si>
  <si>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</si>
  <si>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</si>
  <si>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</si>
  <si>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</si>
  <si>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</si>
  <si>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</si>
  <si>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</si>
  <si>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</si>
  <si>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</si>
  <si>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</si>
  <si>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</si>
  <si>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</si>
  <si>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</si>
  <si>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</si>
  <si>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</si>
  <si>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</si>
  <si>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</si>
  <si>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</si>
  <si>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</si>
  <si>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</si>
  <si>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</si>
  <si>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</si>
  <si>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</si>
  <si>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</si>
  <si>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</si>
  <si>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</si>
  <si>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</si>
  <si>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</si>
  <si>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</si>
  <si>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</si>
  <si>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</si>
  <si>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</si>
  <si>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</si>
  <si>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</si>
  <si>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</si>
  <si>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</si>
  <si>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</si>
  <si>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</si>
  <si>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</si>
  <si>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</si>
  <si>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</si>
  <si>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</si>
  <si>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</si>
  <si>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</si>
  <si>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</si>
  <si>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</si>
  <si>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</si>
  <si>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</si>
  <si>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</si>
  <si>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</si>
  <si>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</si>
  <si>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</si>
  <si>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</si>
  <si>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</si>
  <si>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</si>
  <si>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</si>
  <si>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</si>
  <si>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</si>
  <si>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</si>
  <si>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</si>
  <si>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</si>
  <si>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</si>
  <si>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</si>
  <si>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</si>
  <si>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</si>
  <si>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</si>
  <si>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</si>
  <si>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</si>
  <si>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</si>
  <si>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</si>
  <si>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</si>
  <si>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</si>
  <si>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</si>
  <si>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</si>
  <si>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</si>
  <si>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</si>
  <si>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</si>
  <si>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</si>
  <si>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</si>
  <si>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</si>
  <si>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</si>
  <si>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</si>
  <si>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</si>
  <si>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</si>
  <si>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</si>
  <si>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</si>
  <si>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</si>
  <si>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</si>
  <si>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</si>
  <si>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</si>
  <si>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</si>
  <si>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</si>
  <si>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</si>
  <si>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</si>
  <si>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</si>
  <si>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</si>
  <si>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</si>
  <si>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</si>
  <si>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</si>
  <si>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</si>
  <si>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140/2</t>
  </si>
  <si>
    <t>Работы по содержанию лифта (лифтов)</t>
  </si>
  <si>
    <t>площадь дома</t>
  </si>
  <si>
    <t>Отчет об исполнении договора управления многоквартирного дома 
Березовый, 140/2 в части текущего ремонта</t>
  </si>
  <si>
    <t>разово</t>
  </si>
  <si>
    <t>Охрана теплового пункта</t>
  </si>
  <si>
    <t>лифты и охрана в содержании жилья 01.03.2020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</si>
  <si>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</si>
  <si>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</si>
  <si>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</si>
  <si>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</si>
  <si>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</si>
  <si>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</si>
  <si>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</si>
  <si>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 </t>
  </si>
  <si>
    <t xml:space="preserve">  -  замена теплообменника отопления</t>
  </si>
  <si>
    <t xml:space="preserve">  -  механизированная уборка и вывоз снега с придомовой территории</t>
  </si>
  <si>
    <t>Механизированная уборка и вывоз снега с придомовой территории.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</si>
  <si>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</si>
  <si>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</si>
  <si>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</si>
  <si>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</si>
  <si>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</si>
  <si>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Замена контактора в станции управления лифта.</t>
  </si>
  <si>
    <t>АВР 1/23 от 31.01.2023, Решение, счет №25 от 25.01.2023</t>
  </si>
  <si>
    <t>Приобретение и установка доводчика на тамбурную дверь в подъезде.</t>
  </si>
  <si>
    <t>АВР 2/23 от 07.02.2023, Решение</t>
  </si>
  <si>
    <t>Сброс снега с кровли.</t>
  </si>
  <si>
    <t>АВР 4/23 от 16.02.2023</t>
  </si>
  <si>
    <t>АВР 3/23 от 13.02.2023, Решение</t>
  </si>
  <si>
    <t>Благоустройство придомовой территории (разметка парковочных мест).</t>
  </si>
  <si>
    <t>Ремонт блока управления "ECL comfort 210" в ТП.</t>
  </si>
  <si>
    <t>АВР 5/23 от 02.05.2023</t>
  </si>
  <si>
    <t>Приобретение и замена светильника над подъездом.</t>
  </si>
  <si>
    <t>АВР 6/23 от 12.05.2023</t>
  </si>
  <si>
    <t>Ремонт подъезда (покраска полов на 9 этаже).</t>
  </si>
  <si>
    <t>АВР 7/23 от 26.05.2023, счет №2233 от 19.05.2023</t>
  </si>
  <si>
    <t>Благоустройство придомовой территории (завоз песка).</t>
  </si>
  <si>
    <t>АВР 8/23 от 26.05.2023</t>
  </si>
  <si>
    <t>АВР 9/23 от 26.05.2023, счет №2234 от 19.05.2023</t>
  </si>
  <si>
    <t>Приобретение и монтаж аншлага с номером дома.</t>
  </si>
  <si>
    <t>Сварочные работы в тепловом пункте (замена шаровых кранов).</t>
  </si>
  <si>
    <t>АВР 10/23 от 03.07.2023</t>
  </si>
  <si>
    <t>АВР 11/23 от 03.07.2023, Решение, счет №4059 от 31.05.2023</t>
  </si>
  <si>
    <t>АВР 12/23 от 04.07.2023, счет 31474 от 16.06.2023</t>
  </si>
  <si>
    <t>Приобретение и замена манометров в тепловой пункт.</t>
  </si>
  <si>
    <t>АВР 13/23 от 05.07.2023</t>
  </si>
  <si>
    <t>АВР 14/23 от 06.09.2023, Решение, счет №1 от 09.08.2023</t>
  </si>
  <si>
    <t>Сварочные работы в тепловом пункте (восстановление опор расширительного бака).</t>
  </si>
  <si>
    <t>АВР 15/23 от 24.10.2023, Решение</t>
  </si>
  <si>
    <t>Замена охранного прибора GSM с выносной антеной и АКБ.</t>
  </si>
  <si>
    <t>АВР 16/23 от 13.11.2023, Решение, счет №21 и 22 от 08.11.2023</t>
  </si>
  <si>
    <t>АВР 17/23 от 13.11.2023, Решение, счет №119 от 26.10.2023</t>
  </si>
  <si>
    <t>Обшивка вентиляционных шахт (кухня, с/узел кв. 89).</t>
  </si>
  <si>
    <t>8 руб.</t>
  </si>
  <si>
    <t>с 01.10.2023 Протокол от 17.09.2023</t>
  </si>
  <si>
    <t>Приобретение и замена шаровых кранов в тепловом пункте (Ду-80 и Ду-65).</t>
  </si>
  <si>
    <t>Обшивка вентиляционных шахт (кв. 83).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</si>
</sst>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8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40" fillId="0" borderId="0"/>
    <xf numFmtId="0" fontId="40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0" fontId="43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/>
    <xf numFmtId="4" fontId="32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0" fontId="26" fillId="0" borderId="0" xfId="4" applyFill="1" applyBorder="1" applyAlignment="1">
      <alignment horizontal="center"/>
    </xf>
    <xf numFmtId="0" fontId="0" fillId="0" borderId="0" xfId="0" applyFill="1" applyBorder="1"/>
    <xf numFmtId="4" fontId="41" fillId="3" borderId="0" xfId="17" applyNumberFormat="1" applyFont="1" applyFill="1" applyBorder="1" applyAlignment="1">
      <alignment horizontal="left" vertical="center" wrapText="1"/>
    </xf>
    <xf numFmtId="4" fontId="49" fillId="0" borderId="0" xfId="0" applyNumberFormat="1" applyFont="1"/>
    <xf numFmtId="0" fontId="0" fillId="0" borderId="0" xfId="0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1" fontId="21" fillId="0" borderId="0" xfId="15" applyNumberFormat="1" applyFill="1" applyBorder="1" applyAlignment="1">
      <alignment horizontal="center"/>
    </xf>
    <xf numFmtId="4" fontId="21" fillId="0" borderId="0" xfId="15" applyNumberFormat="1" applyFill="1" applyBorder="1" applyAlignment="1"/>
    <xf numFmtId="4" fontId="31" fillId="0" borderId="0" xfId="0" applyNumberFormat="1" applyFont="1" applyBorder="1"/>
    <xf numFmtId="49" fontId="32" fillId="0" borderId="0" xfId="0" applyNumberFormat="1" applyFont="1" applyBorder="1" applyAlignment="1"/>
    <xf numFmtId="4" fontId="32" fillId="0" borderId="0" xfId="0" applyNumberFormat="1" applyFont="1" applyBorder="1"/>
    <xf numFmtId="49" fontId="32" fillId="0" borderId="0" xfId="0" applyNumberFormat="1" applyFont="1" applyFill="1" applyBorder="1" applyAlignment="1"/>
    <xf numFmtId="4" fontId="32" fillId="0" borderId="0" xfId="0" applyNumberFormat="1" applyFont="1" applyFill="1" applyBorder="1"/>
    <xf numFmtId="0" fontId="15" fillId="0" borderId="0" xfId="2" applyFont="1" applyFill="1" applyBorder="1" applyAlignment="1"/>
    <xf numFmtId="0" fontId="14" fillId="0" borderId="0" xfId="158" applyFont="1" applyFill="1" applyBorder="1" applyAlignment="1"/>
    <xf numFmtId="0" fontId="14" fillId="0" borderId="0" xfId="159" applyFont="1" applyFill="1" applyBorder="1" applyAlignment="1">
      <alignment horizontal="center"/>
    </xf>
    <xf numFmtId="0" fontId="14" fillId="0" borderId="0" xfId="159" applyFill="1" applyBorder="1" applyAlignment="1">
      <alignment horizontal="center"/>
    </xf>
    <xf numFmtId="4" fontId="39" fillId="0" borderId="0" xfId="159" applyNumberFormat="1" applyFont="1" applyFill="1" applyBorder="1" applyAlignment="1"/>
    <xf numFmtId="0" fontId="12" fillId="0" borderId="0" xfId="15" applyFont="1" applyFill="1" applyBorder="1" applyAlignment="1">
      <alignment horizontal="center"/>
    </xf>
    <xf numFmtId="0" fontId="12" fillId="0" borderId="0" xfId="15" applyFont="1" applyFill="1" applyBorder="1" applyAlignment="1"/>
    <xf numFmtId="0" fontId="39" fillId="0" borderId="0" xfId="280" applyFont="1" applyFill="1" applyBorder="1" applyAlignment="1"/>
    <xf numFmtId="0" fontId="12" fillId="0" borderId="0" xfId="280" applyFont="1" applyFill="1" applyBorder="1" applyAlignment="1">
      <alignment horizontal="center"/>
    </xf>
    <xf numFmtId="0" fontId="12" fillId="0" borderId="0" xfId="280" applyFill="1" applyBorder="1" applyAlignment="1">
      <alignment horizontal="center"/>
    </xf>
    <xf numFmtId="4" fontId="12" fillId="0" borderId="0" xfId="280" applyNumberFormat="1" applyFill="1" applyBorder="1" applyAlignment="1"/>
    <xf numFmtId="0" fontId="39" fillId="0" borderId="0" xfId="18" applyFont="1" applyFill="1" applyBorder="1" applyAlignment="1"/>
    <xf numFmtId="0" fontId="13" fillId="0" borderId="0" xfId="18" applyFont="1" applyFill="1" applyBorder="1" applyAlignment="1">
      <alignment horizontal="center"/>
    </xf>
    <xf numFmtId="0" fontId="17" fillId="0" borderId="0" xfId="18" applyFill="1" applyBorder="1" applyAlignment="1">
      <alignment horizontal="center"/>
    </xf>
    <xf numFmtId="4" fontId="17" fillId="0" borderId="0" xfId="18" applyNumberFormat="1" applyFill="1" applyBorder="1" applyAlignment="1"/>
    <xf numFmtId="0" fontId="11" fillId="0" borderId="0" xfId="11" applyFont="1" applyFill="1" applyBorder="1" applyAlignment="1"/>
    <xf numFmtId="0" fontId="11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4" fontId="39" fillId="0" borderId="0" xfId="11" applyNumberFormat="1" applyFont="1" applyFill="1" applyBorder="1" applyAlignment="1"/>
    <xf numFmtId="0" fontId="11" fillId="0" borderId="0" xfId="154" applyFont="1" applyFill="1" applyBorder="1"/>
    <xf numFmtId="0" fontId="10" fillId="0" borderId="0" xfId="101" applyFont="1" applyFill="1" applyBorder="1" applyAlignment="1"/>
    <xf numFmtId="0" fontId="10" fillId="0" borderId="0" xfId="4" applyFont="1" applyFill="1" applyBorder="1" applyAlignment="1">
      <alignment horizontal="center"/>
    </xf>
    <xf numFmtId="0" fontId="0" fillId="0" borderId="0" xfId="0" applyFont="1" applyFill="1"/>
    <xf numFmtId="0" fontId="8" fillId="0" borderId="0" xfId="101" applyFont="1" applyFill="1" applyBorder="1" applyAlignment="1"/>
    <xf numFmtId="0" fontId="9" fillId="0" borderId="0" xfId="4" applyFont="1" applyFill="1" applyBorder="1" applyAlignment="1">
      <alignment horizontal="center"/>
    </xf>
    <xf numFmtId="0" fontId="7" fillId="0" borderId="0" xfId="101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344" applyFont="1" applyFill="1" applyBorder="1" applyAlignment="1">
      <alignment horizontal="center"/>
    </xf>
    <xf numFmtId="0" fontId="6" fillId="0" borderId="0" xfId="344" applyFill="1" applyBorder="1" applyAlignment="1">
      <alignment horizontal="center"/>
    </xf>
    <xf numFmtId="4" fontId="6" fillId="0" borderId="0" xfId="344" applyNumberForma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3" fillId="0" borderId="0" xfId="4" applyFont="1" applyFill="1" applyBorder="1" applyAlignment="1">
      <alignment horizontal="center"/>
    </xf>
    <xf numFmtId="0" fontId="2" fillId="0" borderId="0" xfId="345" applyFont="1" applyFill="1" applyBorder="1" applyAlignment="1"/>
    <xf numFmtId="0" fontId="31" fillId="4" borderId="0" xfId="0" applyFont="1" applyFill="1" applyBorder="1" applyAlignment="1" applyProtection="1">
      <alignment wrapText="1"/>
      <protection locked="0"/>
    </xf>
    <xf numFmtId="0" fontId="31" fillId="6" borderId="0" xfId="0" applyFont="1" applyFill="1" applyBorder="1" applyAlignment="1" applyProtection="1">
      <alignment wrapText="1"/>
      <protection locked="0"/>
    </xf>
    <xf numFmtId="0" fontId="1" fillId="0" borderId="0" xfId="101" applyFont="1" applyFill="1" applyBorder="1" applyAlignment="1"/>
    <xf numFmtId="0" fontId="1" fillId="0" borderId="0" xfId="345" applyFont="1" applyFill="1" applyBorder="1" applyAlignment="1"/>
    <xf numFmtId="0" fontId="1" fillId="0" borderId="0" xfId="2" applyFont="1" applyFill="1" applyBorder="1" applyAlignment="1"/>
    <xf numFmtId="0" fontId="29" fillId="0" borderId="0" xfId="0" applyFont="1" applyFill="1" applyBorder="1" applyAlignment="1">
      <alignment horizontal="left" wrapText="1"/>
    </xf>
    <xf numFmtId="0" fontId="31" fillId="0" borderId="1" xfId="1" applyFont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1" fillId="3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/>
    </xf>
    <xf numFmtId="4" fontId="33" fillId="0" borderId="1" xfId="1" applyNumberFormat="1" applyFont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31" fillId="3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1" fillId="0" borderId="1" xfId="0" applyFont="1" applyBorder="1" applyAlignment="1">
      <alignment horizontal="left" wrapText="1"/>
    </xf>
    <xf numFmtId="0" fontId="31" fillId="0" borderId="1" xfId="1" applyFont="1" applyBorder="1" applyAlignment="1">
      <alignment horizontal="left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798">
    <cellStyle name="Обычный" xfId="0" builtinId="0"/>
    <cellStyle name="Обычный 2" xfId="1"/>
    <cellStyle name="Обычный 2 10" xfId="63"/>
    <cellStyle name="Обычный 2 10 2" xfId="171"/>
    <cellStyle name="Обычный 2 10 2 2" xfId="627"/>
    <cellStyle name="Обычный 2 10 3" xfId="278"/>
    <cellStyle name="Обычный 2 10 3 2" xfId="734"/>
    <cellStyle name="Обычный 2 10 4" xfId="520"/>
    <cellStyle name="Обычный 2 10 5" xfId="397"/>
    <cellStyle name="Обычный 2 11" xfId="19"/>
    <cellStyle name="Обычный 2 11 2" xfId="477"/>
    <cellStyle name="Обычный 2 11 3" xfId="354"/>
    <cellStyle name="Обычный 2 12" xfId="128"/>
    <cellStyle name="Обычный 2 12 2" xfId="584"/>
    <cellStyle name="Обычный 2 13" xfId="235"/>
    <cellStyle name="Обычный 2 13 2" xfId="691"/>
    <cellStyle name="Обычный 2 14" xfId="462"/>
    <cellStyle name="Обычный 2 15" xfId="342"/>
    <cellStyle name="Обычный 2 2" xfId="3"/>
    <cellStyle name="Обычный 2 3" xfId="9"/>
    <cellStyle name="Обычный 2 3 10" xfId="467"/>
    <cellStyle name="Обычный 2 3 11" xfId="364"/>
    <cellStyle name="Обычный 2 3 2" xfId="42"/>
    <cellStyle name="Обычный 2 3 2 2" xfId="120"/>
    <cellStyle name="Обычный 2 3 2 2 2" xfId="227"/>
    <cellStyle name="Обычный 2 3 2 2 2 2" xfId="683"/>
    <cellStyle name="Обычный 2 3 2 2 3" xfId="334"/>
    <cellStyle name="Обычный 2 3 2 2 3 2" xfId="790"/>
    <cellStyle name="Обычный 2 3 2 2 4" xfId="576"/>
    <cellStyle name="Обычный 2 3 2 2 5" xfId="453"/>
    <cellStyle name="Обычный 2 3 2 3" xfId="150"/>
    <cellStyle name="Обычный 2 3 2 3 2" xfId="606"/>
    <cellStyle name="Обычный 2 3 2 4" xfId="257"/>
    <cellStyle name="Обычный 2 3 2 4 2" xfId="713"/>
    <cellStyle name="Обычный 2 3 2 5" xfId="499"/>
    <cellStyle name="Обычный 2 3 2 6" xfId="376"/>
    <cellStyle name="Обычный 2 3 3" xfId="54"/>
    <cellStyle name="Обычный 2 3 3 2" xfId="103"/>
    <cellStyle name="Обычный 2 3 3 2 2" xfId="211"/>
    <cellStyle name="Обычный 2 3 3 2 2 2" xfId="667"/>
    <cellStyle name="Обычный 2 3 3 2 3" xfId="318"/>
    <cellStyle name="Обычный 2 3 3 2 3 2" xfId="774"/>
    <cellStyle name="Обычный 2 3 3 2 4" xfId="560"/>
    <cellStyle name="Обычный 2 3 3 2 5" xfId="437"/>
    <cellStyle name="Обычный 2 3 3 3" xfId="162"/>
    <cellStyle name="Обычный 2 3 3 3 2" xfId="618"/>
    <cellStyle name="Обычный 2 3 3 4" xfId="269"/>
    <cellStyle name="Обычный 2 3 3 4 2" xfId="725"/>
    <cellStyle name="Обычный 2 3 3 5" xfId="511"/>
    <cellStyle name="Обычный 2 3 3 6" xfId="388"/>
    <cellStyle name="Обычный 2 3 4" xfId="93"/>
    <cellStyle name="Обычный 2 3 4 2" xfId="201"/>
    <cellStyle name="Обычный 2 3 4 2 2" xfId="657"/>
    <cellStyle name="Обычный 2 3 4 3" xfId="308"/>
    <cellStyle name="Обычный 2 3 4 3 2" xfId="764"/>
    <cellStyle name="Обычный 2 3 4 4" xfId="550"/>
    <cellStyle name="Обычный 2 3 4 5" xfId="427"/>
    <cellStyle name="Обычный 2 3 5" xfId="79"/>
    <cellStyle name="Обычный 2 3 5 2" xfId="187"/>
    <cellStyle name="Обычный 2 3 5 2 2" xfId="643"/>
    <cellStyle name="Обычный 2 3 5 3" xfId="294"/>
    <cellStyle name="Обычный 2 3 5 3 2" xfId="750"/>
    <cellStyle name="Обычный 2 3 5 4" xfId="536"/>
    <cellStyle name="Обычный 2 3 5 5" xfId="413"/>
    <cellStyle name="Обычный 2 3 6" xfId="70"/>
    <cellStyle name="Обычный 2 3 6 2" xfId="178"/>
    <cellStyle name="Обычный 2 3 6 2 2" xfId="634"/>
    <cellStyle name="Обычный 2 3 6 3" xfId="285"/>
    <cellStyle name="Обычный 2 3 6 3 2" xfId="741"/>
    <cellStyle name="Обычный 2 3 6 4" xfId="527"/>
    <cellStyle name="Обычный 2 3 6 5" xfId="404"/>
    <cellStyle name="Обычный 2 3 7" xfId="29"/>
    <cellStyle name="Обычный 2 3 7 2" xfId="487"/>
    <cellStyle name="Обычный 2 3 8" xfId="138"/>
    <cellStyle name="Обычный 2 3 8 2" xfId="594"/>
    <cellStyle name="Обычный 2 3 9" xfId="245"/>
    <cellStyle name="Обычный 2 3 9 2" xfId="701"/>
    <cellStyle name="Обычный 2 4" xfId="24"/>
    <cellStyle name="Обычный 2 4 2" xfId="110"/>
    <cellStyle name="Обычный 2 4 2 2" xfId="217"/>
    <cellStyle name="Обычный 2 4 2 2 2" xfId="673"/>
    <cellStyle name="Обычный 2 4 2 3" xfId="324"/>
    <cellStyle name="Обычный 2 4 2 3 2" xfId="780"/>
    <cellStyle name="Обычный 2 4 2 4" xfId="566"/>
    <cellStyle name="Обычный 2 4 2 5" xfId="443"/>
    <cellStyle name="Обычный 2 4 3" xfId="133"/>
    <cellStyle name="Обычный 2 4 3 2" xfId="589"/>
    <cellStyle name="Обычный 2 4 4" xfId="240"/>
    <cellStyle name="Обычный 2 4 4 2" xfId="696"/>
    <cellStyle name="Обычный 2 4 5" xfId="482"/>
    <cellStyle name="Обычный 2 4 6" xfId="359"/>
    <cellStyle name="Обычный 2 5" xfId="17"/>
    <cellStyle name="Обычный 2 5 2" xfId="62"/>
    <cellStyle name="Обычный 2 5 2 2" xfId="170"/>
    <cellStyle name="Обычный 2 5 2 2 2" xfId="626"/>
    <cellStyle name="Обычный 2 5 2 3" xfId="277"/>
    <cellStyle name="Обычный 2 5 2 3 2" xfId="733"/>
    <cellStyle name="Обычный 2 5 2 4" xfId="519"/>
    <cellStyle name="Обычный 2 5 2 5" xfId="396"/>
    <cellStyle name="Обычный 2 5 3" xfId="115"/>
    <cellStyle name="Обычный 2 5 3 2" xfId="222"/>
    <cellStyle name="Обычный 2 5 3 2 2" xfId="678"/>
    <cellStyle name="Обычный 2 5 3 3" xfId="329"/>
    <cellStyle name="Обычный 2 5 3 3 2" xfId="785"/>
    <cellStyle name="Обычный 2 5 3 4" xfId="571"/>
    <cellStyle name="Обычный 2 5 3 5" xfId="448"/>
    <cellStyle name="Обычный 2 5 4" xfId="36"/>
    <cellStyle name="Обычный 2 5 4 2" xfId="493"/>
    <cellStyle name="Обычный 2 5 4 3" xfId="370"/>
    <cellStyle name="Обычный 2 5 5" xfId="144"/>
    <cellStyle name="Обычный 2 5 5 2" xfId="600"/>
    <cellStyle name="Обычный 2 5 6" xfId="251"/>
    <cellStyle name="Обычный 2 5 6 2" xfId="707"/>
    <cellStyle name="Обычный 2 5 7" xfId="475"/>
    <cellStyle name="Обычный 2 5 8" xfId="350"/>
    <cellStyle name="Обычный 2 6" xfId="49"/>
    <cellStyle name="Обычный 2 6 2" xfId="123"/>
    <cellStyle name="Обычный 2 6 2 2" xfId="230"/>
    <cellStyle name="Обычный 2 6 2 2 2" xfId="686"/>
    <cellStyle name="Обычный 2 6 2 3" xfId="337"/>
    <cellStyle name="Обычный 2 6 2 3 2" xfId="793"/>
    <cellStyle name="Обычный 2 6 2 4" xfId="579"/>
    <cellStyle name="Обычный 2 6 2 5" xfId="456"/>
    <cellStyle name="Обычный 2 6 3" xfId="157"/>
    <cellStyle name="Обычный 2 6 3 2" xfId="613"/>
    <cellStyle name="Обычный 2 6 4" xfId="264"/>
    <cellStyle name="Обычный 2 6 4 2" xfId="720"/>
    <cellStyle name="Обычный 2 6 5" xfId="506"/>
    <cellStyle name="Обычный 2 6 6" xfId="383"/>
    <cellStyle name="Обычный 2 7" xfId="98"/>
    <cellStyle name="Обычный 2 7 2" xfId="206"/>
    <cellStyle name="Обычный 2 7 2 2" xfId="662"/>
    <cellStyle name="Обычный 2 7 3" xfId="313"/>
    <cellStyle name="Обычный 2 7 3 2" xfId="769"/>
    <cellStyle name="Обычный 2 7 4" xfId="555"/>
    <cellStyle name="Обычный 2 7 5" xfId="432"/>
    <cellStyle name="Обычный 2 8" xfId="86"/>
    <cellStyle name="Обычный 2 8 2" xfId="194"/>
    <cellStyle name="Обычный 2 8 2 2" xfId="650"/>
    <cellStyle name="Обычный 2 8 3" xfId="301"/>
    <cellStyle name="Обычный 2 8 3 2" xfId="757"/>
    <cellStyle name="Обычный 2 8 4" xfId="543"/>
    <cellStyle name="Обычный 2 8 5" xfId="420"/>
    <cellStyle name="Обычный 2 9" xfId="75"/>
    <cellStyle name="Обычный 2 9 2" xfId="183"/>
    <cellStyle name="Обычный 2 9 2 2" xfId="639"/>
    <cellStyle name="Обычный 2 9 3" xfId="290"/>
    <cellStyle name="Обычный 2 9 3 2" xfId="746"/>
    <cellStyle name="Обычный 2 9 4" xfId="532"/>
    <cellStyle name="Обычный 2 9 5" xfId="409"/>
    <cellStyle name="Обычный 3" xfId="2"/>
    <cellStyle name="Обычный 3 10" xfId="87"/>
    <cellStyle name="Обычный 3 10 2" xfId="195"/>
    <cellStyle name="Обычный 3 10 2 2" xfId="651"/>
    <cellStyle name="Обычный 3 10 3" xfId="302"/>
    <cellStyle name="Обычный 3 10 3 2" xfId="758"/>
    <cellStyle name="Обычный 3 10 4" xfId="544"/>
    <cellStyle name="Обычный 3 10 5" xfId="421"/>
    <cellStyle name="Обычный 3 11" xfId="76"/>
    <cellStyle name="Обычный 3 11 2" xfId="184"/>
    <cellStyle name="Обычный 3 11 2 2" xfId="640"/>
    <cellStyle name="Обычный 3 11 3" xfId="291"/>
    <cellStyle name="Обычный 3 11 3 2" xfId="747"/>
    <cellStyle name="Обычный 3 11 4" xfId="533"/>
    <cellStyle name="Обычный 3 11 5" xfId="410"/>
    <cellStyle name="Обычный 3 12" xfId="64"/>
    <cellStyle name="Обычный 3 12 2" xfId="172"/>
    <cellStyle name="Обычный 3 12 2 2" xfId="628"/>
    <cellStyle name="Обычный 3 12 3" xfId="279"/>
    <cellStyle name="Обычный 3 12 3 2" xfId="735"/>
    <cellStyle name="Обычный 3 12 4" xfId="521"/>
    <cellStyle name="Обычный 3 12 5" xfId="398"/>
    <cellStyle name="Обычный 3 13" xfId="20"/>
    <cellStyle name="Обычный 3 13 2" xfId="478"/>
    <cellStyle name="Обычный 3 13 3" xfId="355"/>
    <cellStyle name="Обычный 3 14" xfId="129"/>
    <cellStyle name="Обычный 3 14 2" xfId="585"/>
    <cellStyle name="Обычный 3 15" xfId="236"/>
    <cellStyle name="Обычный 3 15 2" xfId="692"/>
    <cellStyle name="Обычный 3 16" xfId="463"/>
    <cellStyle name="Обычный 3 17" xfId="343"/>
    <cellStyle name="Обычный 3 2" xfId="7"/>
    <cellStyle name="Обычный 3 3" xfId="6"/>
    <cellStyle name="Обычный 3 4" xfId="10"/>
    <cellStyle name="Обычный 3 4 2" xfId="43"/>
    <cellStyle name="Обычный 3 4 2 2" xfId="121"/>
    <cellStyle name="Обычный 3 4 2 2 2" xfId="228"/>
    <cellStyle name="Обычный 3 4 2 2 2 2" xfId="684"/>
    <cellStyle name="Обычный 3 4 2 2 3" xfId="335"/>
    <cellStyle name="Обычный 3 4 2 2 3 2" xfId="791"/>
    <cellStyle name="Обычный 3 4 2 2 4" xfId="577"/>
    <cellStyle name="Обычный 3 4 2 2 5" xfId="454"/>
    <cellStyle name="Обычный 3 4 2 3" xfId="151"/>
    <cellStyle name="Обычный 3 4 2 3 2" xfId="607"/>
    <cellStyle name="Обычный 3 4 2 4" xfId="258"/>
    <cellStyle name="Обычный 3 4 2 4 2" xfId="714"/>
    <cellStyle name="Обычный 3 4 2 5" xfId="500"/>
    <cellStyle name="Обычный 3 4 2 6" xfId="377"/>
    <cellStyle name="Обычный 3 4 3" xfId="55"/>
    <cellStyle name="Обычный 3 4 3 2" xfId="108"/>
    <cellStyle name="Обычный 3 4 3 3" xfId="163"/>
    <cellStyle name="Обычный 3 4 3 3 2" xfId="619"/>
    <cellStyle name="Обычный 3 4 3 4" xfId="270"/>
    <cellStyle name="Обычный 3 4 3 4 2" xfId="726"/>
    <cellStyle name="Обычный 3 4 3 5" xfId="512"/>
    <cellStyle name="Обычный 3 4 3 6" xfId="389"/>
    <cellStyle name="Обычный 3 4 4" xfId="94"/>
    <cellStyle name="Обычный 3 4 4 2" xfId="202"/>
    <cellStyle name="Обычный 3 4 4 2 2" xfId="658"/>
    <cellStyle name="Обычный 3 4 4 3" xfId="309"/>
    <cellStyle name="Обычный 3 4 4 3 2" xfId="765"/>
    <cellStyle name="Обычный 3 4 4 4" xfId="551"/>
    <cellStyle name="Обычный 3 4 4 5" xfId="428"/>
    <cellStyle name="Обычный 3 4 5" xfId="34"/>
    <cellStyle name="Обычный 3 4 6" xfId="468"/>
    <cellStyle name="Обычный 3 5" xfId="30"/>
    <cellStyle name="Обычный 3 5 2" xfId="104"/>
    <cellStyle name="Обычный 3 5 2 2" xfId="212"/>
    <cellStyle name="Обычный 3 5 2 2 2" xfId="668"/>
    <cellStyle name="Обычный 3 5 2 3" xfId="319"/>
    <cellStyle name="Обычный 3 5 2 3 2" xfId="775"/>
    <cellStyle name="Обычный 3 5 2 4" xfId="561"/>
    <cellStyle name="Обычный 3 5 2 5" xfId="438"/>
    <cellStyle name="Обычный 3 5 3" xfId="80"/>
    <cellStyle name="Обычный 3 5 3 2" xfId="188"/>
    <cellStyle name="Обычный 3 5 3 2 2" xfId="644"/>
    <cellStyle name="Обычный 3 5 3 3" xfId="295"/>
    <cellStyle name="Обычный 3 5 3 3 2" xfId="751"/>
    <cellStyle name="Обычный 3 5 3 4" xfId="537"/>
    <cellStyle name="Обычный 3 5 3 5" xfId="414"/>
    <cellStyle name="Обычный 3 5 4" xfId="71"/>
    <cellStyle name="Обычный 3 5 4 2" xfId="179"/>
    <cellStyle name="Обычный 3 5 4 2 2" xfId="635"/>
    <cellStyle name="Обычный 3 5 4 3" xfId="286"/>
    <cellStyle name="Обычный 3 5 4 3 2" xfId="742"/>
    <cellStyle name="Обычный 3 5 4 4" xfId="528"/>
    <cellStyle name="Обычный 3 5 4 5" xfId="405"/>
    <cellStyle name="Обычный 3 5 5" xfId="139"/>
    <cellStyle name="Обычный 3 5 5 2" xfId="595"/>
    <cellStyle name="Обычный 3 5 6" xfId="246"/>
    <cellStyle name="Обычный 3 5 6 2" xfId="702"/>
    <cellStyle name="Обычный 3 5 7" xfId="488"/>
    <cellStyle name="Обычный 3 5 8" xfId="365"/>
    <cellStyle name="Обычный 3 6" xfId="16"/>
    <cellStyle name="Обычный 3 6 2" xfId="61"/>
    <cellStyle name="Обычный 3 6 2 2" xfId="169"/>
    <cellStyle name="Обычный 3 6 2 2 2" xfId="625"/>
    <cellStyle name="Обычный 3 6 2 3" xfId="276"/>
    <cellStyle name="Обычный 3 6 2 3 2" xfId="732"/>
    <cellStyle name="Обычный 3 6 2 4" xfId="518"/>
    <cellStyle name="Обычный 3 6 2 5" xfId="395"/>
    <cellStyle name="Обычный 3 6 3" xfId="111"/>
    <cellStyle name="Обычный 3 6 3 2" xfId="218"/>
    <cellStyle name="Обычный 3 6 3 2 2" xfId="674"/>
    <cellStyle name="Обычный 3 6 3 3" xfId="325"/>
    <cellStyle name="Обычный 3 6 3 3 2" xfId="781"/>
    <cellStyle name="Обычный 3 6 3 4" xfId="567"/>
    <cellStyle name="Обычный 3 6 3 5" xfId="444"/>
    <cellStyle name="Обычный 3 6 4" xfId="25"/>
    <cellStyle name="Обычный 3 6 4 2" xfId="483"/>
    <cellStyle name="Обычный 3 6 4 3" xfId="360"/>
    <cellStyle name="Обычный 3 6 5" xfId="134"/>
    <cellStyle name="Обычный 3 6 5 2" xfId="590"/>
    <cellStyle name="Обычный 3 6 6" xfId="241"/>
    <cellStyle name="Обычный 3 6 6 2" xfId="697"/>
    <cellStyle name="Обычный 3 6 7" xfId="474"/>
    <cellStyle name="Обычный 3 6 8" xfId="349"/>
    <cellStyle name="Обычный 3 7" xfId="37"/>
    <cellStyle name="Обычный 3 7 2" xfId="116"/>
    <cellStyle name="Обычный 3 7 2 2" xfId="223"/>
    <cellStyle name="Обычный 3 7 2 2 2" xfId="679"/>
    <cellStyle name="Обычный 3 7 2 3" xfId="330"/>
    <cellStyle name="Обычный 3 7 2 3 2" xfId="786"/>
    <cellStyle name="Обычный 3 7 2 4" xfId="572"/>
    <cellStyle name="Обычный 3 7 2 5" xfId="449"/>
    <cellStyle name="Обычный 3 7 3" xfId="145"/>
    <cellStyle name="Обычный 3 7 3 2" xfId="601"/>
    <cellStyle name="Обычный 3 7 4" xfId="252"/>
    <cellStyle name="Обычный 3 7 4 2" xfId="708"/>
    <cellStyle name="Обычный 3 7 5" xfId="494"/>
    <cellStyle name="Обычный 3 7 6" xfId="371"/>
    <cellStyle name="Обычный 3 8" xfId="50"/>
    <cellStyle name="Обычный 3 8 2" xfId="124"/>
    <cellStyle name="Обычный 3 8 2 2" xfId="231"/>
    <cellStyle name="Обычный 3 8 2 2 2" xfId="687"/>
    <cellStyle name="Обычный 3 8 2 3" xfId="338"/>
    <cellStyle name="Обычный 3 8 2 3 2" xfId="794"/>
    <cellStyle name="Обычный 3 8 2 4" xfId="580"/>
    <cellStyle name="Обычный 3 8 2 5" xfId="457"/>
    <cellStyle name="Обычный 3 8 3" xfId="158"/>
    <cellStyle name="Обычный 3 8 3 2" xfId="614"/>
    <cellStyle name="Обычный 3 8 4" xfId="265"/>
    <cellStyle name="Обычный 3 8 4 2" xfId="721"/>
    <cellStyle name="Обычный 3 8 5" xfId="507"/>
    <cellStyle name="Обычный 3 8 6" xfId="384"/>
    <cellStyle name="Обычный 3 9" xfId="99"/>
    <cellStyle name="Обычный 3 9 2" xfId="207"/>
    <cellStyle name="Обычный 3 9 2 2" xfId="663"/>
    <cellStyle name="Обычный 3 9 3" xfId="314"/>
    <cellStyle name="Обычный 3 9 3 2" xfId="770"/>
    <cellStyle name="Обычный 3 9 4" xfId="556"/>
    <cellStyle name="Обычный 3 9 5" xfId="433"/>
    <cellStyle name="Обычный 4" xfId="4"/>
    <cellStyle name="Обычный 4 10" xfId="21"/>
    <cellStyle name="Обычный 4 10 2" xfId="479"/>
    <cellStyle name="Обычный 4 10 3" xfId="356"/>
    <cellStyle name="Обычный 4 11" xfId="130"/>
    <cellStyle name="Обычный 4 11 2" xfId="586"/>
    <cellStyle name="Обычный 4 12" xfId="237"/>
    <cellStyle name="Обычный 4 12 2" xfId="693"/>
    <cellStyle name="Обычный 4 13" xfId="464"/>
    <cellStyle name="Обычный 4 14" xfId="344"/>
    <cellStyle name="Обычный 4 2" xfId="11"/>
    <cellStyle name="Обычный 4 2 10" xfId="469"/>
    <cellStyle name="Обычный 4 2 11" xfId="352"/>
    <cellStyle name="Обычный 4 2 2" xfId="48"/>
    <cellStyle name="Обычный 4 2 2 2" xfId="122"/>
    <cellStyle name="Обычный 4 2 2 2 2" xfId="229"/>
    <cellStyle name="Обычный 4 2 2 2 2 2" xfId="685"/>
    <cellStyle name="Обычный 4 2 2 2 3" xfId="336"/>
    <cellStyle name="Обычный 4 2 2 2 3 2" xfId="792"/>
    <cellStyle name="Обычный 4 2 2 2 4" xfId="578"/>
    <cellStyle name="Обычный 4 2 2 2 5" xfId="455"/>
    <cellStyle name="Обычный 4 2 2 3" xfId="85"/>
    <cellStyle name="Обычный 4 2 2 3 2" xfId="193"/>
    <cellStyle name="Обычный 4 2 2 3 2 2" xfId="649"/>
    <cellStyle name="Обычный 4 2 2 3 3" xfId="300"/>
    <cellStyle name="Обычный 4 2 2 3 3 2" xfId="756"/>
    <cellStyle name="Обычный 4 2 2 3 4" xfId="542"/>
    <cellStyle name="Обычный 4 2 2 3 5" xfId="419"/>
    <cellStyle name="Обычный 4 2 2 4" xfId="156"/>
    <cellStyle name="Обычный 4 2 2 4 2" xfId="612"/>
    <cellStyle name="Обычный 4 2 2 5" xfId="263"/>
    <cellStyle name="Обычный 4 2 2 5 2" xfId="719"/>
    <cellStyle name="Обычный 4 2 2 6" xfId="505"/>
    <cellStyle name="Обычный 4 2 2 7" xfId="382"/>
    <cellStyle name="Обычный 4 2 3" xfId="56"/>
    <cellStyle name="Обычный 4 2 3 2" xfId="105"/>
    <cellStyle name="Обычный 4 2 3 2 2" xfId="213"/>
    <cellStyle name="Обычный 4 2 3 2 2 2" xfId="669"/>
    <cellStyle name="Обычный 4 2 3 2 3" xfId="320"/>
    <cellStyle name="Обычный 4 2 3 2 3 2" xfId="776"/>
    <cellStyle name="Обычный 4 2 3 2 4" xfId="562"/>
    <cellStyle name="Обычный 4 2 3 2 5" xfId="439"/>
    <cellStyle name="Обычный 4 2 3 3" xfId="164"/>
    <cellStyle name="Обычный 4 2 3 3 2" xfId="620"/>
    <cellStyle name="Обычный 4 2 3 4" xfId="271"/>
    <cellStyle name="Обычный 4 2 3 4 2" xfId="727"/>
    <cellStyle name="Обычный 4 2 3 5" xfId="513"/>
    <cellStyle name="Обычный 4 2 3 6" xfId="390"/>
    <cellStyle name="Обычный 4 2 4" xfId="95"/>
    <cellStyle name="Обычный 4 2 4 2" xfId="203"/>
    <cellStyle name="Обычный 4 2 4 2 2" xfId="659"/>
    <cellStyle name="Обычный 4 2 4 3" xfId="310"/>
    <cellStyle name="Обычный 4 2 4 3 2" xfId="766"/>
    <cellStyle name="Обычный 4 2 4 4" xfId="552"/>
    <cellStyle name="Обычный 4 2 4 5" xfId="429"/>
    <cellStyle name="Обычный 4 2 5" xfId="84"/>
    <cellStyle name="Обычный 4 2 5 2" xfId="192"/>
    <cellStyle name="Обычный 4 2 5 2 2" xfId="648"/>
    <cellStyle name="Обычный 4 2 5 3" xfId="299"/>
    <cellStyle name="Обычный 4 2 5 3 2" xfId="755"/>
    <cellStyle name="Обычный 4 2 5 4" xfId="541"/>
    <cellStyle name="Обычный 4 2 5 5" xfId="418"/>
    <cellStyle name="Обычный 4 2 6" xfId="72"/>
    <cellStyle name="Обычный 4 2 6 2" xfId="180"/>
    <cellStyle name="Обычный 4 2 6 2 2" xfId="636"/>
    <cellStyle name="Обычный 4 2 6 3" xfId="287"/>
    <cellStyle name="Обычный 4 2 6 3 2" xfId="743"/>
    <cellStyle name="Обычный 4 2 6 4" xfId="529"/>
    <cellStyle name="Обычный 4 2 6 5" xfId="406"/>
    <cellStyle name="Обычный 4 2 7" xfId="31"/>
    <cellStyle name="Обычный 4 2 7 2" xfId="489"/>
    <cellStyle name="Обычный 4 2 7 3" xfId="366"/>
    <cellStyle name="Обычный 4 2 8" xfId="140"/>
    <cellStyle name="Обычный 4 2 8 2" xfId="596"/>
    <cellStyle name="Обычный 4 2 9" xfId="247"/>
    <cellStyle name="Обычный 4 2 9 2" xfId="703"/>
    <cellStyle name="Обычный 4 3" xfId="14"/>
    <cellStyle name="Обычный 4 3 2" xfId="44"/>
    <cellStyle name="Обычный 4 3 2 2" xfId="112"/>
    <cellStyle name="Обычный 4 3 2 2 2" xfId="219"/>
    <cellStyle name="Обычный 4 3 2 2 2 2" xfId="675"/>
    <cellStyle name="Обычный 4 3 2 2 3" xfId="326"/>
    <cellStyle name="Обычный 4 3 2 2 3 2" xfId="782"/>
    <cellStyle name="Обычный 4 3 2 2 4" xfId="568"/>
    <cellStyle name="Обычный 4 3 2 2 5" xfId="445"/>
    <cellStyle name="Обычный 4 3 2 3" xfId="152"/>
    <cellStyle name="Обычный 4 3 2 3 2" xfId="608"/>
    <cellStyle name="Обычный 4 3 2 4" xfId="259"/>
    <cellStyle name="Обычный 4 3 2 4 2" xfId="715"/>
    <cellStyle name="Обычный 4 3 2 5" xfId="501"/>
    <cellStyle name="Обычный 4 3 2 6" xfId="378"/>
    <cellStyle name="Обычный 4 3 3" xfId="59"/>
    <cellStyle name="Обычный 4 3 3 2" xfId="167"/>
    <cellStyle name="Обычный 4 3 3 2 2" xfId="623"/>
    <cellStyle name="Обычный 4 3 3 3" xfId="274"/>
    <cellStyle name="Обычный 4 3 3 3 2" xfId="730"/>
    <cellStyle name="Обычный 4 3 3 4" xfId="516"/>
    <cellStyle name="Обычный 4 3 3 5" xfId="393"/>
    <cellStyle name="Обычный 4 3 4" xfId="81"/>
    <cellStyle name="Обычный 4 3 4 2" xfId="189"/>
    <cellStyle name="Обычный 4 3 4 2 2" xfId="645"/>
    <cellStyle name="Обычный 4 3 4 3" xfId="296"/>
    <cellStyle name="Обычный 4 3 4 3 2" xfId="752"/>
    <cellStyle name="Обычный 4 3 4 4" xfId="538"/>
    <cellStyle name="Обычный 4 3 4 5" xfId="415"/>
    <cellStyle name="Обычный 4 3 5" xfId="26"/>
    <cellStyle name="Обычный 4 3 5 2" xfId="484"/>
    <cellStyle name="Обычный 4 3 5 3" xfId="361"/>
    <cellStyle name="Обычный 4 3 6" xfId="135"/>
    <cellStyle name="Обычный 4 3 6 2" xfId="591"/>
    <cellStyle name="Обычный 4 3 7" xfId="242"/>
    <cellStyle name="Обычный 4 3 7 2" xfId="698"/>
    <cellStyle name="Обычный 4 3 8" xfId="472"/>
    <cellStyle name="Обычный 4 3 9" xfId="347"/>
    <cellStyle name="Обычный 4 4" xfId="38"/>
    <cellStyle name="Обычный 4 4 2" xfId="117"/>
    <cellStyle name="Обычный 4 4 2 2" xfId="224"/>
    <cellStyle name="Обычный 4 4 2 2 2" xfId="680"/>
    <cellStyle name="Обычный 4 4 2 3" xfId="331"/>
    <cellStyle name="Обычный 4 4 2 3 2" xfId="787"/>
    <cellStyle name="Обычный 4 4 2 4" xfId="573"/>
    <cellStyle name="Обычный 4 4 2 5" xfId="450"/>
    <cellStyle name="Обычный 4 4 3" xfId="146"/>
    <cellStyle name="Обычный 4 4 3 2" xfId="602"/>
    <cellStyle name="Обычный 4 4 4" xfId="253"/>
    <cellStyle name="Обычный 4 4 4 2" xfId="709"/>
    <cellStyle name="Обычный 4 4 5" xfId="495"/>
    <cellStyle name="Обычный 4 4 6" xfId="372"/>
    <cellStyle name="Обычный 4 5" xfId="51"/>
    <cellStyle name="Обычный 4 5 2" xfId="125"/>
    <cellStyle name="Обычный 4 5 2 2" xfId="232"/>
    <cellStyle name="Обычный 4 5 2 2 2" xfId="688"/>
    <cellStyle name="Обычный 4 5 2 3" xfId="339"/>
    <cellStyle name="Обычный 4 5 2 3 2" xfId="795"/>
    <cellStyle name="Обычный 4 5 2 4" xfId="581"/>
    <cellStyle name="Обычный 4 5 2 5" xfId="458"/>
    <cellStyle name="Обычный 4 5 3" xfId="159"/>
    <cellStyle name="Обычный 4 5 3 2" xfId="615"/>
    <cellStyle name="Обычный 4 5 4" xfId="266"/>
    <cellStyle name="Обычный 4 5 4 2" xfId="722"/>
    <cellStyle name="Обычный 4 5 5" xfId="508"/>
    <cellStyle name="Обычный 4 5 6" xfId="385"/>
    <cellStyle name="Обычный 4 6" xfId="100"/>
    <cellStyle name="Обычный 4 6 2" xfId="208"/>
    <cellStyle name="Обычный 4 6 2 2" xfId="664"/>
    <cellStyle name="Обычный 4 6 3" xfId="315"/>
    <cellStyle name="Обычный 4 6 3 2" xfId="771"/>
    <cellStyle name="Обычный 4 6 4" xfId="557"/>
    <cellStyle name="Обычный 4 6 5" xfId="434"/>
    <cellStyle name="Обычный 4 7" xfId="88"/>
    <cellStyle name="Обычный 4 7 2" xfId="196"/>
    <cellStyle name="Обычный 4 7 2 2" xfId="652"/>
    <cellStyle name="Обычный 4 7 3" xfId="303"/>
    <cellStyle name="Обычный 4 7 3 2" xfId="759"/>
    <cellStyle name="Обычный 4 7 4" xfId="545"/>
    <cellStyle name="Обычный 4 7 5" xfId="422"/>
    <cellStyle name="Обычный 4 8" xfId="77"/>
    <cellStyle name="Обычный 4 8 2" xfId="185"/>
    <cellStyle name="Обычный 4 8 2 2" xfId="641"/>
    <cellStyle name="Обычный 4 8 3" xfId="292"/>
    <cellStyle name="Обычный 4 8 3 2" xfId="748"/>
    <cellStyle name="Обычный 4 8 4" xfId="534"/>
    <cellStyle name="Обычный 4 8 5" xfId="411"/>
    <cellStyle name="Обычный 4 9" xfId="18"/>
    <cellStyle name="Обычный 4 9 2" xfId="65"/>
    <cellStyle name="Обычный 4 9 2 2" xfId="522"/>
    <cellStyle name="Обычный 4 9 2 3" xfId="399"/>
    <cellStyle name="Обычный 4 9 3" xfId="173"/>
    <cellStyle name="Обычный 4 9 3 2" xfId="629"/>
    <cellStyle name="Обычный 4 9 4" xfId="280"/>
    <cellStyle name="Обычный 4 9 4 2" xfId="736"/>
    <cellStyle name="Обычный 4 9 4 3" xfId="461"/>
    <cellStyle name="Обычный 4 9 5" xfId="476"/>
    <cellStyle name="Обычный 4 9 6" xfId="351"/>
    <cellStyle name="Обычный 5" xfId="5"/>
    <cellStyle name="Обычный 5 10" xfId="66"/>
    <cellStyle name="Обычный 5 10 2" xfId="174"/>
    <cellStyle name="Обычный 5 10 2 2" xfId="630"/>
    <cellStyle name="Обычный 5 10 3" xfId="281"/>
    <cellStyle name="Обычный 5 10 3 2" xfId="737"/>
    <cellStyle name="Обычный 5 10 4" xfId="523"/>
    <cellStyle name="Обычный 5 10 5" xfId="400"/>
    <cellStyle name="Обычный 5 11" xfId="22"/>
    <cellStyle name="Обычный 5 11 2" xfId="480"/>
    <cellStyle name="Обычный 5 11 3" xfId="357"/>
    <cellStyle name="Обычный 5 12" xfId="131"/>
    <cellStyle name="Обычный 5 12 2" xfId="587"/>
    <cellStyle name="Обычный 5 13" xfId="238"/>
    <cellStyle name="Обычный 5 13 2" xfId="694"/>
    <cellStyle name="Обычный 5 14" xfId="465"/>
    <cellStyle name="Обычный 5 15" xfId="345"/>
    <cellStyle name="Обычный 5 2" xfId="12"/>
    <cellStyle name="Обычный 5 2 10" xfId="367"/>
    <cellStyle name="Обычный 5 2 2" xfId="45"/>
    <cellStyle name="Обычный 5 2 2 2" xfId="106"/>
    <cellStyle name="Обычный 5 2 2 2 2" xfId="214"/>
    <cellStyle name="Обычный 5 2 2 2 2 2" xfId="670"/>
    <cellStyle name="Обычный 5 2 2 2 3" xfId="321"/>
    <cellStyle name="Обычный 5 2 2 2 3 2" xfId="777"/>
    <cellStyle name="Обычный 5 2 2 2 4" xfId="563"/>
    <cellStyle name="Обычный 5 2 2 2 5" xfId="440"/>
    <cellStyle name="Обычный 5 2 2 3" xfId="153"/>
    <cellStyle name="Обычный 5 2 2 3 2" xfId="609"/>
    <cellStyle name="Обычный 5 2 2 4" xfId="260"/>
    <cellStyle name="Обычный 5 2 2 4 2" xfId="716"/>
    <cellStyle name="Обычный 5 2 2 5" xfId="502"/>
    <cellStyle name="Обычный 5 2 2 6" xfId="379"/>
    <cellStyle name="Обычный 5 2 3" xfId="57"/>
    <cellStyle name="Обычный 5 2 3 2" xfId="96"/>
    <cellStyle name="Обычный 5 2 3 2 2" xfId="204"/>
    <cellStyle name="Обычный 5 2 3 2 2 2" xfId="660"/>
    <cellStyle name="Обычный 5 2 3 2 3" xfId="311"/>
    <cellStyle name="Обычный 5 2 3 2 3 2" xfId="767"/>
    <cellStyle name="Обычный 5 2 3 2 4" xfId="553"/>
    <cellStyle name="Обычный 5 2 3 2 5" xfId="430"/>
    <cellStyle name="Обычный 5 2 3 3" xfId="165"/>
    <cellStyle name="Обычный 5 2 3 3 2" xfId="621"/>
    <cellStyle name="Обычный 5 2 3 4" xfId="272"/>
    <cellStyle name="Обычный 5 2 3 4 2" xfId="728"/>
    <cellStyle name="Обычный 5 2 3 5" xfId="514"/>
    <cellStyle name="Обычный 5 2 3 6" xfId="391"/>
    <cellStyle name="Обычный 5 2 4" xfId="82"/>
    <cellStyle name="Обычный 5 2 4 2" xfId="190"/>
    <cellStyle name="Обычный 5 2 4 2 2" xfId="646"/>
    <cellStyle name="Обычный 5 2 4 3" xfId="297"/>
    <cellStyle name="Обычный 5 2 4 3 2" xfId="753"/>
    <cellStyle name="Обычный 5 2 4 4" xfId="539"/>
    <cellStyle name="Обычный 5 2 4 5" xfId="416"/>
    <cellStyle name="Обычный 5 2 5" xfId="73"/>
    <cellStyle name="Обычный 5 2 5 2" xfId="181"/>
    <cellStyle name="Обычный 5 2 5 2 2" xfId="637"/>
    <cellStyle name="Обычный 5 2 5 3" xfId="288"/>
    <cellStyle name="Обычный 5 2 5 3 2" xfId="744"/>
    <cellStyle name="Обычный 5 2 5 4" xfId="530"/>
    <cellStyle name="Обычный 5 2 5 5" xfId="407"/>
    <cellStyle name="Обычный 5 2 6" xfId="32"/>
    <cellStyle name="Обычный 5 2 6 2" xfId="490"/>
    <cellStyle name="Обычный 5 2 7" xfId="141"/>
    <cellStyle name="Обычный 5 2 7 2" xfId="597"/>
    <cellStyle name="Обычный 5 2 8" xfId="248"/>
    <cellStyle name="Обычный 5 2 8 2" xfId="704"/>
    <cellStyle name="Обычный 5 2 9" xfId="470"/>
    <cellStyle name="Обычный 5 3" xfId="27"/>
    <cellStyle name="Обычный 5 3 2" xfId="41"/>
    <cellStyle name="Обычный 5 3 2 2" xfId="113"/>
    <cellStyle name="Обычный 5 3 2 2 2" xfId="220"/>
    <cellStyle name="Обычный 5 3 2 2 2 2" xfId="676"/>
    <cellStyle name="Обычный 5 3 2 2 3" xfId="327"/>
    <cellStyle name="Обычный 5 3 2 2 3 2" xfId="783"/>
    <cellStyle name="Обычный 5 3 2 2 4" xfId="569"/>
    <cellStyle name="Обычный 5 3 2 2 5" xfId="446"/>
    <cellStyle name="Обычный 5 3 2 3" xfId="149"/>
    <cellStyle name="Обычный 5 3 2 3 2" xfId="605"/>
    <cellStyle name="Обычный 5 3 2 4" xfId="256"/>
    <cellStyle name="Обычный 5 3 2 4 2" xfId="712"/>
    <cellStyle name="Обычный 5 3 2 5" xfId="498"/>
    <cellStyle name="Обычный 5 3 2 6" xfId="375"/>
    <cellStyle name="Обычный 5 3 3" xfId="69"/>
    <cellStyle name="Обычный 5 3 3 2" xfId="177"/>
    <cellStyle name="Обычный 5 3 3 2 2" xfId="633"/>
    <cellStyle name="Обычный 5 3 3 3" xfId="284"/>
    <cellStyle name="Обычный 5 3 3 3 2" xfId="740"/>
    <cellStyle name="Обычный 5 3 3 4" xfId="526"/>
    <cellStyle name="Обычный 5 3 3 5" xfId="403"/>
    <cellStyle name="Обычный 5 3 4" xfId="136"/>
    <cellStyle name="Обычный 5 3 4 2" xfId="592"/>
    <cellStyle name="Обычный 5 3 5" xfId="243"/>
    <cellStyle name="Обычный 5 3 5 2" xfId="699"/>
    <cellStyle name="Обычный 5 3 6" xfId="485"/>
    <cellStyle name="Обычный 5 3 7" xfId="362"/>
    <cellStyle name="Обычный 5 4" xfId="8"/>
    <cellStyle name="Обычный 5 4 10" xfId="346"/>
    <cellStyle name="Обычный 5 4 2" xfId="13"/>
    <cellStyle name="Обычный 5 4 2 2" xfId="47"/>
    <cellStyle name="Обычный 5 4 2 2 2" xfId="114"/>
    <cellStyle name="Обычный 5 4 2 2 2 2" xfId="221"/>
    <cellStyle name="Обычный 5 4 2 2 2 2 2" xfId="677"/>
    <cellStyle name="Обычный 5 4 2 2 2 3" xfId="328"/>
    <cellStyle name="Обычный 5 4 2 2 2 3 2" xfId="784"/>
    <cellStyle name="Обычный 5 4 2 2 2 4" xfId="570"/>
    <cellStyle name="Обычный 5 4 2 2 2 5" xfId="447"/>
    <cellStyle name="Обычный 5 4 2 2 3" xfId="155"/>
    <cellStyle name="Обычный 5 4 2 2 3 2" xfId="611"/>
    <cellStyle name="Обычный 5 4 2 2 4" xfId="262"/>
    <cellStyle name="Обычный 5 4 2 2 4 2" xfId="718"/>
    <cellStyle name="Обычный 5 4 2 2 5" xfId="504"/>
    <cellStyle name="Обычный 5 4 2 2 6" xfId="381"/>
    <cellStyle name="Обычный 5 4 2 3" xfId="58"/>
    <cellStyle name="Обычный 5 4 2 3 2" xfId="166"/>
    <cellStyle name="Обычный 5 4 2 3 2 2" xfId="622"/>
    <cellStyle name="Обычный 5 4 2 3 3" xfId="273"/>
    <cellStyle name="Обычный 5 4 2 3 3 2" xfId="729"/>
    <cellStyle name="Обычный 5 4 2 3 4" xfId="515"/>
    <cellStyle name="Обычный 5 4 2 3 5" xfId="392"/>
    <cellStyle name="Обычный 5 4 2 4" xfId="74"/>
    <cellStyle name="Обычный 5 4 2 4 2" xfId="182"/>
    <cellStyle name="Обычный 5 4 2 4 2 2" xfId="638"/>
    <cellStyle name="Обычный 5 4 2 4 3" xfId="289"/>
    <cellStyle name="Обычный 5 4 2 4 3 2" xfId="745"/>
    <cellStyle name="Обычный 5 4 2 4 4" xfId="531"/>
    <cellStyle name="Обычный 5 4 2 4 5" xfId="408"/>
    <cellStyle name="Обычный 5 4 2 5" xfId="35"/>
    <cellStyle name="Обычный 5 4 2 5 2" xfId="492"/>
    <cellStyle name="Обычный 5 4 2 6" xfId="143"/>
    <cellStyle name="Обычный 5 4 2 6 2" xfId="599"/>
    <cellStyle name="Обычный 5 4 2 7" xfId="250"/>
    <cellStyle name="Обычный 5 4 2 7 2" xfId="706"/>
    <cellStyle name="Обычный 5 4 2 8" xfId="471"/>
    <cellStyle name="Обычный 5 4 2 9" xfId="369"/>
    <cellStyle name="Обычный 5 4 3" xfId="15"/>
    <cellStyle name="Обычный 5 4 3 2" xfId="60"/>
    <cellStyle name="Обычный 5 4 3 2 2" xfId="168"/>
    <cellStyle name="Обычный 5 4 3 2 2 2" xfId="624"/>
    <cellStyle name="Обычный 5 4 3 2 3" xfId="275"/>
    <cellStyle name="Обычный 5 4 3 2 3 2" xfId="731"/>
    <cellStyle name="Обычный 5 4 3 2 4" xfId="517"/>
    <cellStyle name="Обычный 5 4 3 2 5" xfId="394"/>
    <cellStyle name="Обычный 5 4 3 3" xfId="127"/>
    <cellStyle name="Обычный 5 4 3 3 2" xfId="234"/>
    <cellStyle name="Обычный 5 4 3 3 2 2" xfId="690"/>
    <cellStyle name="Обычный 5 4 3 3 3" xfId="341"/>
    <cellStyle name="Обычный 5 4 3 3 3 2" xfId="797"/>
    <cellStyle name="Обычный 5 4 3 3 4" xfId="583"/>
    <cellStyle name="Обычный 5 4 3 3 5" xfId="460"/>
    <cellStyle name="Обычный 5 4 3 4" xfId="40"/>
    <cellStyle name="Обычный 5 4 3 4 2" xfId="497"/>
    <cellStyle name="Обычный 5 4 3 4 3" xfId="374"/>
    <cellStyle name="Обычный 5 4 3 5" xfId="148"/>
    <cellStyle name="Обычный 5 4 3 5 2" xfId="604"/>
    <cellStyle name="Обычный 5 4 3 6" xfId="255"/>
    <cellStyle name="Обычный 5 4 3 6 2" xfId="711"/>
    <cellStyle name="Обычный 5 4 3 7" xfId="473"/>
    <cellStyle name="Обычный 5 4 3 8" xfId="348"/>
    <cellStyle name="Обычный 5 4 4" xfId="53"/>
    <cellStyle name="Обычный 5 4 4 2" xfId="109"/>
    <cellStyle name="Обычный 5 4 4 2 2" xfId="216"/>
    <cellStyle name="Обычный 5 4 4 2 2 2" xfId="672"/>
    <cellStyle name="Обычный 5 4 4 2 3" xfId="323"/>
    <cellStyle name="Обычный 5 4 4 2 3 2" xfId="779"/>
    <cellStyle name="Обычный 5 4 4 2 4" xfId="565"/>
    <cellStyle name="Обычный 5 4 4 2 5" xfId="442"/>
    <cellStyle name="Обычный 5 4 4 3" xfId="161"/>
    <cellStyle name="Обычный 5 4 4 3 2" xfId="617"/>
    <cellStyle name="Обычный 5 4 4 4" xfId="268"/>
    <cellStyle name="Обычный 5 4 4 4 2" xfId="724"/>
    <cellStyle name="Обычный 5 4 4 5" xfId="510"/>
    <cellStyle name="Обычный 5 4 4 6" xfId="387"/>
    <cellStyle name="Обычный 5 4 5" xfId="68"/>
    <cellStyle name="Обычный 5 4 5 2" xfId="176"/>
    <cellStyle name="Обычный 5 4 5 2 2" xfId="632"/>
    <cellStyle name="Обычный 5 4 5 3" xfId="283"/>
    <cellStyle name="Обычный 5 4 5 3 2" xfId="739"/>
    <cellStyle name="Обычный 5 4 5 4" xfId="525"/>
    <cellStyle name="Обычный 5 4 5 5" xfId="402"/>
    <cellStyle name="Обычный 5 4 6" xfId="23"/>
    <cellStyle name="Обычный 5 4 6 2" xfId="481"/>
    <cellStyle name="Обычный 5 4 6 3" xfId="358"/>
    <cellStyle name="Обычный 5 4 7" xfId="132"/>
    <cellStyle name="Обычный 5 4 7 2" xfId="588"/>
    <cellStyle name="Обычный 5 4 8" xfId="239"/>
    <cellStyle name="Обычный 5 4 8 2" xfId="695"/>
    <cellStyle name="Обычный 5 4 9" xfId="466"/>
    <cellStyle name="Обычный 5 5" xfId="39"/>
    <cellStyle name="Обычный 5 5 2" xfId="118"/>
    <cellStyle name="Обычный 5 5 2 2" xfId="225"/>
    <cellStyle name="Обычный 5 5 2 2 2" xfId="681"/>
    <cellStyle name="Обычный 5 5 2 3" xfId="332"/>
    <cellStyle name="Обычный 5 5 2 3 2" xfId="788"/>
    <cellStyle name="Обычный 5 5 2 4" xfId="574"/>
    <cellStyle name="Обычный 5 5 2 5" xfId="451"/>
    <cellStyle name="Обычный 5 5 3" xfId="147"/>
    <cellStyle name="Обычный 5 5 3 2" xfId="603"/>
    <cellStyle name="Обычный 5 5 4" xfId="254"/>
    <cellStyle name="Обычный 5 5 4 2" xfId="710"/>
    <cellStyle name="Обычный 5 5 5" xfId="496"/>
    <cellStyle name="Обычный 5 5 6" xfId="373"/>
    <cellStyle name="Обычный 5 6" xfId="52"/>
    <cellStyle name="Обычный 5 6 2" xfId="126"/>
    <cellStyle name="Обычный 5 6 2 2" xfId="233"/>
    <cellStyle name="Обычный 5 6 2 2 2" xfId="689"/>
    <cellStyle name="Обычный 5 6 2 3" xfId="340"/>
    <cellStyle name="Обычный 5 6 2 3 2" xfId="796"/>
    <cellStyle name="Обычный 5 6 2 4" xfId="582"/>
    <cellStyle name="Обычный 5 6 2 5" xfId="459"/>
    <cellStyle name="Обычный 5 6 3" xfId="160"/>
    <cellStyle name="Обычный 5 6 3 2" xfId="616"/>
    <cellStyle name="Обычный 5 6 4" xfId="267"/>
    <cellStyle name="Обычный 5 6 4 2" xfId="723"/>
    <cellStyle name="Обычный 5 6 5" xfId="509"/>
    <cellStyle name="Обычный 5 6 6" xfId="386"/>
    <cellStyle name="Обычный 5 7" xfId="101"/>
    <cellStyle name="Обычный 5 7 2" xfId="209"/>
    <cellStyle name="Обычный 5 7 2 2" xfId="665"/>
    <cellStyle name="Обычный 5 7 3" xfId="316"/>
    <cellStyle name="Обычный 5 7 3 2" xfId="772"/>
    <cellStyle name="Обычный 5 7 4" xfId="558"/>
    <cellStyle name="Обычный 5 7 5" xfId="435"/>
    <cellStyle name="Обычный 5 8" xfId="89"/>
    <cellStyle name="Обычный 5 8 2" xfId="197"/>
    <cellStyle name="Обычный 5 8 2 2" xfId="653"/>
    <cellStyle name="Обычный 5 8 3" xfId="304"/>
    <cellStyle name="Обычный 5 8 3 2" xfId="760"/>
    <cellStyle name="Обычный 5 8 4" xfId="546"/>
    <cellStyle name="Обычный 5 8 5" xfId="423"/>
    <cellStyle name="Обычный 5 9" xfId="78"/>
    <cellStyle name="Обычный 5 9 2" xfId="186"/>
    <cellStyle name="Обычный 5 9 2 2" xfId="642"/>
    <cellStyle name="Обычный 5 9 3" xfId="293"/>
    <cellStyle name="Обычный 5 9 3 2" xfId="749"/>
    <cellStyle name="Обычный 5 9 4" xfId="535"/>
    <cellStyle name="Обычный 5 9 5" xfId="412"/>
    <cellStyle name="Обычный 6" xfId="46"/>
    <cellStyle name="Обычный 6 2" xfId="91"/>
    <cellStyle name="Обычный 6 2 2" xfId="199"/>
    <cellStyle name="Обычный 6 2 2 2" xfId="655"/>
    <cellStyle name="Обычный 6 2 3" xfId="306"/>
    <cellStyle name="Обычный 6 2 3 2" xfId="762"/>
    <cellStyle name="Обычный 6 2 4" xfId="548"/>
    <cellStyle name="Обычный 6 2 5" xfId="425"/>
    <cellStyle name="Обычный 6 3" xfId="67"/>
    <cellStyle name="Обычный 6 3 2" xfId="175"/>
    <cellStyle name="Обычный 6 3 2 2" xfId="631"/>
    <cellStyle name="Обычный 6 3 3" xfId="282"/>
    <cellStyle name="Обычный 6 3 3 2" xfId="738"/>
    <cellStyle name="Обычный 6 3 4" xfId="524"/>
    <cellStyle name="Обычный 6 3 5" xfId="401"/>
    <cellStyle name="Обычный 6 4" xfId="154"/>
    <cellStyle name="Обычный 6 4 2" xfId="610"/>
    <cellStyle name="Обычный 6 4 3" xfId="380"/>
    <cellStyle name="Обычный 6 5" xfId="261"/>
    <cellStyle name="Обычный 6 5 2" xfId="717"/>
    <cellStyle name="Обычный 6 6" xfId="503"/>
    <cellStyle name="Обычный 6 7" xfId="353"/>
    <cellStyle name="Финансовый 2" xfId="28"/>
    <cellStyle name="Финансовый 2 10" xfId="363"/>
    <cellStyle name="Финансовый 2 2" xfId="33"/>
    <cellStyle name="Финансовый 2 2 2" xfId="107"/>
    <cellStyle name="Финансовый 2 2 2 2" xfId="215"/>
    <cellStyle name="Финансовый 2 2 2 2 2" xfId="671"/>
    <cellStyle name="Финансовый 2 2 2 3" xfId="322"/>
    <cellStyle name="Финансовый 2 2 2 3 2" xfId="778"/>
    <cellStyle name="Финансовый 2 2 2 4" xfId="564"/>
    <cellStyle name="Финансовый 2 2 2 5" xfId="441"/>
    <cellStyle name="Финансовый 2 2 3" xfId="97"/>
    <cellStyle name="Финансовый 2 2 3 2" xfId="205"/>
    <cellStyle name="Финансовый 2 2 3 2 2" xfId="661"/>
    <cellStyle name="Финансовый 2 2 3 3" xfId="312"/>
    <cellStyle name="Финансовый 2 2 3 3 2" xfId="768"/>
    <cellStyle name="Финансовый 2 2 3 4" xfId="554"/>
    <cellStyle name="Финансовый 2 2 3 5" xfId="431"/>
    <cellStyle name="Финансовый 2 2 4" xfId="142"/>
    <cellStyle name="Финансовый 2 2 4 2" xfId="598"/>
    <cellStyle name="Финансовый 2 2 5" xfId="249"/>
    <cellStyle name="Финансовый 2 2 5 2" xfId="705"/>
    <cellStyle name="Финансовый 2 2 6" xfId="491"/>
    <cellStyle name="Финансовый 2 2 7" xfId="368"/>
    <cellStyle name="Финансовый 2 3" xfId="119"/>
    <cellStyle name="Финансовый 2 3 2" xfId="226"/>
    <cellStyle name="Финансовый 2 3 2 2" xfId="682"/>
    <cellStyle name="Финансовый 2 3 3" xfId="333"/>
    <cellStyle name="Финансовый 2 3 3 2" xfId="789"/>
    <cellStyle name="Финансовый 2 3 4" xfId="575"/>
    <cellStyle name="Финансовый 2 3 5" xfId="452"/>
    <cellStyle name="Финансовый 2 4" xfId="102"/>
    <cellStyle name="Финансовый 2 4 2" xfId="210"/>
    <cellStyle name="Финансовый 2 4 2 2" xfId="666"/>
    <cellStyle name="Финансовый 2 4 3" xfId="317"/>
    <cellStyle name="Финансовый 2 4 3 2" xfId="773"/>
    <cellStyle name="Финансовый 2 4 4" xfId="559"/>
    <cellStyle name="Финансовый 2 4 5" xfId="436"/>
    <cellStyle name="Финансовый 2 5" xfId="90"/>
    <cellStyle name="Финансовый 2 5 2" xfId="198"/>
    <cellStyle name="Финансовый 2 5 2 2" xfId="654"/>
    <cellStyle name="Финансовый 2 5 3" xfId="305"/>
    <cellStyle name="Финансовый 2 5 3 2" xfId="761"/>
    <cellStyle name="Финансовый 2 5 4" xfId="547"/>
    <cellStyle name="Финансовый 2 5 5" xfId="424"/>
    <cellStyle name="Финансовый 2 6" xfId="83"/>
    <cellStyle name="Финансовый 2 6 2" xfId="191"/>
    <cellStyle name="Финансовый 2 6 2 2" xfId="647"/>
    <cellStyle name="Финансовый 2 6 3" xfId="298"/>
    <cellStyle name="Финансовый 2 6 3 2" xfId="754"/>
    <cellStyle name="Финансовый 2 6 4" xfId="540"/>
    <cellStyle name="Финансовый 2 6 5" xfId="417"/>
    <cellStyle name="Финансовый 2 7" xfId="137"/>
    <cellStyle name="Финансовый 2 7 2" xfId="593"/>
    <cellStyle name="Финансовый 2 8" xfId="244"/>
    <cellStyle name="Финансовый 2 8 2" xfId="700"/>
    <cellStyle name="Финансовый 2 9" xfId="486"/>
    <cellStyle name="Финансовый 3" xfId="92"/>
    <cellStyle name="Финансовый 3 2" xfId="200"/>
    <cellStyle name="Финансовый 3 2 2" xfId="656"/>
    <cellStyle name="Финансовый 3 3" xfId="307"/>
    <cellStyle name="Финансовый 3 3 2" xfId="763"/>
    <cellStyle name="Финансовый 3 4" xfId="549"/>
    <cellStyle name="Финансовый 3 5" xfId="4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3" t="s">
        <v>174</v>
      </c>
      <c r="B2" s="193"/>
      <c r="C2" s="193"/>
      <c r="D2" s="193"/>
      <c r="E2" s="193"/>
      <c r="F2" s="193"/>
      <c r="G2" s="193"/>
      <c r="H2" s="193"/>
      <c r="I2" s="193"/>
      <c r="J2" s="19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7" t="s">
        <v>2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4"/>
      <c r="M8" s="109"/>
      <c r="N8" s="109"/>
      <c r="O8" s="70" t="s">
        <v>81</v>
      </c>
      <c r="R8" s="16"/>
    </row>
    <row r="9" spans="1:18" ht="18.75" customHeight="1" outlineLevel="1">
      <c r="A9" s="187" t="s">
        <v>3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4"/>
      <c r="M9" s="109"/>
      <c r="N9" s="109"/>
      <c r="O9" s="70" t="s">
        <v>82</v>
      </c>
    </row>
    <row r="10" spans="1:18" ht="18.75" customHeight="1" outlineLevel="1">
      <c r="A10" s="187" t="s">
        <v>4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389001.65</v>
      </c>
      <c r="K10" s="109"/>
      <c r="L10" s="194"/>
      <c r="M10" s="109"/>
      <c r="N10" s="109"/>
      <c r="O10" s="70" t="s">
        <v>83</v>
      </c>
    </row>
    <row r="11" spans="1:18" outlineLevel="1">
      <c r="A11" s="187" t="s">
        <v>5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1041476.28</v>
      </c>
      <c r="K11" s="109"/>
      <c r="L11" s="194"/>
      <c r="M11" s="109"/>
      <c r="N11" s="109"/>
      <c r="O11" s="70" t="s">
        <v>84</v>
      </c>
    </row>
    <row r="12" spans="1:18" ht="18.75" customHeight="1" outlineLevel="1">
      <c r="A12" s="187" t="s">
        <v>6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596665.68000000005</v>
      </c>
      <c r="K12" s="109"/>
      <c r="L12" s="194"/>
      <c r="M12" s="109"/>
      <c r="N12" s="109"/>
      <c r="O12" s="70" t="s">
        <v>85</v>
      </c>
    </row>
    <row r="13" spans="1:18" ht="18.75" customHeight="1" outlineLevel="1">
      <c r="A13" s="187" t="s">
        <v>7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262710.59999999998</v>
      </c>
      <c r="K13" s="109"/>
      <c r="L13" s="194"/>
      <c r="M13" s="109"/>
      <c r="N13" s="109"/>
      <c r="O13" s="70" t="s">
        <v>86</v>
      </c>
    </row>
    <row r="14" spans="1:18" ht="18.75" customHeight="1" outlineLevel="1">
      <c r="A14" s="187" t="s">
        <v>8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182100</v>
      </c>
      <c r="K14" s="109"/>
      <c r="L14" s="194"/>
      <c r="M14" s="109"/>
      <c r="N14" s="109"/>
      <c r="O14" s="70" t="s">
        <v>87</v>
      </c>
    </row>
    <row r="15" spans="1:18" ht="18.75" customHeight="1" outlineLevel="1">
      <c r="A15" s="187" t="s">
        <v>9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1066049.6399999999</v>
      </c>
      <c r="K15" s="109"/>
      <c r="L15" s="194"/>
      <c r="M15" s="109"/>
      <c r="N15" s="109"/>
      <c r="O15" s="70" t="s">
        <v>88</v>
      </c>
    </row>
    <row r="16" spans="1:18" ht="18.75" customHeight="1" outlineLevel="1">
      <c r="A16" s="187" t="s">
        <v>10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1066049.6399999999</v>
      </c>
      <c r="K16" s="109"/>
      <c r="L16" s="194"/>
      <c r="M16" s="109"/>
      <c r="N16" s="109"/>
      <c r="O16" s="70" t="s">
        <v>89</v>
      </c>
    </row>
    <row r="17" spans="1:23" ht="18.75" customHeight="1" outlineLevel="1">
      <c r="A17" s="187" t="s">
        <v>11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4"/>
      <c r="M17" s="109"/>
      <c r="N17" s="109"/>
      <c r="O17" s="70" t="s">
        <v>90</v>
      </c>
    </row>
    <row r="18" spans="1:23" ht="18.75" customHeight="1" outlineLevel="1">
      <c r="A18" s="187" t="s">
        <v>12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4"/>
      <c r="M18" s="109"/>
      <c r="N18" s="109"/>
      <c r="O18" s="70" t="s">
        <v>91</v>
      </c>
    </row>
    <row r="19" spans="1:23" ht="18.75" customHeight="1" outlineLevel="1">
      <c r="A19" s="187" t="s">
        <v>13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4"/>
      <c r="M19" s="109"/>
      <c r="N19" s="109"/>
      <c r="O19" s="70" t="s">
        <v>92</v>
      </c>
    </row>
    <row r="20" spans="1:23" ht="18.75" customHeight="1" outlineLevel="1">
      <c r="A20" s="187" t="s">
        <v>14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4"/>
      <c r="M20" s="109"/>
      <c r="N20" s="109"/>
      <c r="O20" s="70" t="s">
        <v>93</v>
      </c>
    </row>
    <row r="21" spans="1:23" ht="18.75" customHeight="1" outlineLevel="1">
      <c r="A21" s="187" t="s">
        <v>15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1066049.6399999999</v>
      </c>
      <c r="K21" s="109"/>
      <c r="L21" s="194"/>
      <c r="M21" s="109"/>
      <c r="N21" s="109"/>
      <c r="O21" s="70" t="s">
        <v>94</v>
      </c>
    </row>
    <row r="22" spans="1:23" ht="18.75" customHeight="1" outlineLevel="1">
      <c r="A22" s="187" t="s">
        <v>16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4"/>
      <c r="M22" s="109"/>
      <c r="N22" s="109"/>
      <c r="O22" s="70" t="s">
        <v>95</v>
      </c>
    </row>
    <row r="23" spans="1:23" ht="18.75" customHeight="1" outlineLevel="1">
      <c r="A23" s="187" t="s">
        <v>17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4"/>
      <c r="M23" s="109"/>
      <c r="N23" s="109"/>
      <c r="O23" s="70" t="s">
        <v>96</v>
      </c>
    </row>
    <row r="24" spans="1:23" ht="18.75" customHeight="1" outlineLevel="1">
      <c r="A24" s="187" t="s">
        <v>18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364428.29000000027</v>
      </c>
      <c r="K24" s="109"/>
      <c r="L24" s="19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6" t="s">
        <v>19</v>
      </c>
      <c r="B27" s="186"/>
      <c r="C27" s="186"/>
      <c r="D27" s="186"/>
      <c r="E27" s="186"/>
      <c r="F27" s="186" t="s">
        <v>20</v>
      </c>
      <c r="G27" s="186"/>
      <c r="H27" s="5" t="s">
        <v>57</v>
      </c>
      <c r="I27" s="186" t="s">
        <v>21</v>
      </c>
      <c r="J27" s="186"/>
      <c r="K27" s="109"/>
      <c r="L27" s="19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8"/>
      <c r="C28" s="178"/>
      <c r="D28" s="178"/>
      <c r="E28" s="178"/>
      <c r="F28" s="183">
        <f>VLOOKUP(A28,ПТО!$A$39:$D$53,2,FALSE)</f>
        <v>264614.30000000005</v>
      </c>
      <c r="G28" s="183"/>
      <c r="H28" s="6" t="str">
        <f>VLOOKUP(A28,ПТО!$A$39:$D$53,3,FALSE)</f>
        <v>Ежемесячно</v>
      </c>
      <c r="I28" s="179">
        <f>VLOOKUP(A28,ПТО!$A$39:$D$53,4,FALSE)</f>
        <v>12</v>
      </c>
      <c r="J28" s="179"/>
      <c r="K28" s="109"/>
      <c r="L28" s="19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8" t="str">
        <f>ПТО!A40</f>
        <v>Работы по содержанию лифта (лифтов)</v>
      </c>
      <c r="B29" s="178"/>
      <c r="C29" s="178"/>
      <c r="D29" s="178"/>
      <c r="E29" s="178"/>
      <c r="F29" s="183">
        <f>VLOOKUP(A29,ПТО!$A$39:$D$53,2,FALSE)</f>
        <v>76528.740000000005</v>
      </c>
      <c r="G29" s="183"/>
      <c r="H29" s="42" t="str">
        <f>VLOOKUP(A29,ПТО!$A$39:$D$53,3,FALSE)</f>
        <v>Ежемесячно</v>
      </c>
      <c r="I29" s="179">
        <f>VLOOKUP(A29,ПТО!$A$39:$D$53,4,FALSE)</f>
        <v>12</v>
      </c>
      <c r="J29" s="179"/>
      <c r="K29" s="109"/>
      <c r="L29" s="19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8"/>
      <c r="C30" s="178"/>
      <c r="D30" s="178"/>
      <c r="E30" s="178"/>
      <c r="F30" s="183">
        <f>VLOOKUP(A30,ПТО!$A$39:$D$53,2,FALSE)</f>
        <v>64878.095999999998</v>
      </c>
      <c r="G30" s="183"/>
      <c r="H30" s="42" t="str">
        <f>VLOOKUP(A30,ПТО!$A$39:$D$53,3,FALSE)</f>
        <v>В соответствии с графиком</v>
      </c>
      <c r="I30" s="179">
        <f>VLOOKUP(A30,ПТО!$A$39:$D$53,4,FALSE)</f>
        <v>12</v>
      </c>
      <c r="J30" s="179"/>
      <c r="K30" s="109"/>
      <c r="L30" s="19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8" t="str">
        <f>ПТО!A42</f>
        <v>Работы, выполняемые для надлежащего содержания электрооборудования дома</v>
      </c>
      <c r="B31" s="178"/>
      <c r="C31" s="178"/>
      <c r="D31" s="178"/>
      <c r="E31" s="178"/>
      <c r="F31" s="183">
        <f>VLOOKUP(A31,ПТО!$A$39:$D$53,2,FALSE)</f>
        <v>58633.96</v>
      </c>
      <c r="G31" s="183"/>
      <c r="H31" s="42" t="str">
        <f>VLOOKUP(A31,ПТО!$A$39:$D$53,3,FALSE)</f>
        <v>Ежемесячно</v>
      </c>
      <c r="I31" s="179">
        <f>VLOOKUP(A31,ПТО!$A$39:$D$53,4,FALSE)</f>
        <v>12</v>
      </c>
      <c r="J31" s="179"/>
      <c r="K31" s="109"/>
      <c r="L31" s="19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8">
        <f>ПТО!A43</f>
        <v>0</v>
      </c>
      <c r="B32" s="178"/>
      <c r="C32" s="178"/>
      <c r="D32" s="178"/>
      <c r="E32" s="178"/>
      <c r="F32" s="183" t="e">
        <f>VLOOKUP(A32,ПТО!$A$39:$D$53,2,FALSE)</f>
        <v>#N/A</v>
      </c>
      <c r="G32" s="183"/>
      <c r="H32" s="42" t="e">
        <f>VLOOKUP(A32,ПТО!$A$39:$D$53,3,FALSE)</f>
        <v>#N/A</v>
      </c>
      <c r="I32" s="179" t="e">
        <f>VLOOKUP(A32,ПТО!$A$39:$D$53,4,FALSE)</f>
        <v>#N/A</v>
      </c>
      <c r="J32" s="179"/>
      <c r="K32" s="109"/>
      <c r="L32" s="19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8" t="str">
        <f>ПТО!A44</f>
        <v>Обеспечение устранения аварий на внутридомовых инженерных системах в многоквартирном доме</v>
      </c>
      <c r="B33" s="178"/>
      <c r="C33" s="178"/>
      <c r="D33" s="178"/>
      <c r="E33" s="178"/>
      <c r="F33" s="183">
        <f>VLOOKUP(A33,ПТО!$A$39:$D$53,2,FALSE)</f>
        <v>21930.624</v>
      </c>
      <c r="G33" s="183"/>
      <c r="H33" s="42" t="str">
        <f>VLOOKUP(A33,ПТО!$A$39:$D$53,3,FALSE)</f>
        <v>Круглосуточно</v>
      </c>
      <c r="I33" s="179">
        <f>VLOOKUP(A33,ПТО!$A$39:$D$53,4,FALSE)</f>
        <v>12</v>
      </c>
      <c r="J33" s="179"/>
      <c r="K33" s="109"/>
      <c r="L33" s="19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8" t="str">
        <f>ПТО!A45</f>
        <v>Работы по содержанию помещений, входящих в состав общего имущества в многоквартирном доме</v>
      </c>
      <c r="B34" s="178"/>
      <c r="C34" s="178"/>
      <c r="D34" s="178"/>
      <c r="E34" s="178"/>
      <c r="F34" s="183">
        <f>VLOOKUP(A34,ПТО!$A$39:$D$53,2,FALSE)</f>
        <v>112394.448</v>
      </c>
      <c r="G34" s="183"/>
      <c r="H34" s="42" t="str">
        <f>VLOOKUP(A34,ПТО!$A$39:$D$53,3,FALSE)</f>
        <v>В соответствии с графиком</v>
      </c>
      <c r="I34" s="179">
        <f>VLOOKUP(A34,ПТО!$A$39:$D$53,4,FALSE)</f>
        <v>12</v>
      </c>
      <c r="J34" s="179"/>
      <c r="K34" s="109"/>
      <c r="L34" s="19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8">
        <f>ПТО!A46</f>
        <v>0</v>
      </c>
      <c r="B35" s="178"/>
      <c r="C35" s="178"/>
      <c r="D35" s="178"/>
      <c r="E35" s="178"/>
      <c r="F35" s="183" t="e">
        <f>VLOOKUP(A35,ПТО!$A$39:$D$53,2,FALSE)</f>
        <v>#N/A</v>
      </c>
      <c r="G35" s="183"/>
      <c r="H35" s="42" t="e">
        <f>VLOOKUP(A35,ПТО!$A$39:$D$53,3,FALSE)</f>
        <v>#N/A</v>
      </c>
      <c r="I35" s="179" t="e">
        <f>VLOOKUP(A35,ПТО!$A$39:$D$53,4,FALSE)</f>
        <v>#N/A</v>
      </c>
      <c r="J35" s="179"/>
      <c r="K35" s="109"/>
      <c r="L35" s="195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78" t="str">
        <f>ПТО!A47</f>
        <v>Охрана теплового пункта</v>
      </c>
      <c r="B36" s="178"/>
      <c r="C36" s="178"/>
      <c r="D36" s="178"/>
      <c r="E36" s="178"/>
      <c r="F36" s="183">
        <f>VLOOKUP(A36,ПТО!$A$39:$D$53,2,FALSE)</f>
        <v>3845.4740000000002</v>
      </c>
      <c r="G36" s="183"/>
      <c r="H36" s="42" t="str">
        <f>VLOOKUP(A36,ПТО!$A$39:$D$53,3,FALSE)</f>
        <v>Круглосуточно</v>
      </c>
      <c r="I36" s="179">
        <f>VLOOKUP(A36,ПТО!$A$39:$D$53,4,FALSE)</f>
        <v>12</v>
      </c>
      <c r="J36" s="179"/>
      <c r="K36" s="109"/>
      <c r="L36" s="195"/>
      <c r="M36" s="115"/>
      <c r="N36" s="109"/>
      <c r="O36" s="23" t="str">
        <f t="shared" si="1"/>
        <v>Охрана теплового пункта</v>
      </c>
      <c r="R36" s="1" t="s">
        <v>71</v>
      </c>
    </row>
    <row r="37" spans="1:18" ht="51" hidden="1" customHeight="1" outlineLevel="1">
      <c r="A37" s="178">
        <f>ПТО!A48</f>
        <v>0</v>
      </c>
      <c r="B37" s="178"/>
      <c r="C37" s="178"/>
      <c r="D37" s="178"/>
      <c r="E37" s="178"/>
      <c r="F37" s="183" t="e">
        <f>VLOOKUP(A37,ПТО!$A$39:$D$53,2,FALSE)</f>
        <v>#N/A</v>
      </c>
      <c r="G37" s="183"/>
      <c r="H37" s="42" t="e">
        <f>VLOOKUP(A37,ПТО!$A$39:$D$53,3,FALSE)</f>
        <v>#N/A</v>
      </c>
      <c r="I37" s="179" t="e">
        <f>VLOOKUP(A37,ПТО!$A$39:$D$53,4,FALSE)</f>
        <v>#N/A</v>
      </c>
      <c r="J37" s="179"/>
      <c r="K37" s="109"/>
      <c r="L37" s="19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8">
        <f>ПТО!A49</f>
        <v>0</v>
      </c>
      <c r="B38" s="178"/>
      <c r="C38" s="178"/>
      <c r="D38" s="178"/>
      <c r="E38" s="178"/>
      <c r="F38" s="183" t="e">
        <f>VLOOKUP(A38,ПТО!$A$39:$D$53,2,FALSE)</f>
        <v>#N/A</v>
      </c>
      <c r="G38" s="183"/>
      <c r="H38" s="42" t="e">
        <f>VLOOKUP(A38,ПТО!$A$39:$D$53,3,FALSE)</f>
        <v>#N/A</v>
      </c>
      <c r="I38" s="179" t="e">
        <f>VLOOKUP(A38,ПТО!$A$39:$D$53,4,FALSE)</f>
        <v>#N/A</v>
      </c>
      <c r="J38" s="179"/>
      <c r="K38" s="109"/>
      <c r="L38" s="19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8">
        <f>ПТО!A50</f>
        <v>0</v>
      </c>
      <c r="B39" s="178"/>
      <c r="C39" s="178"/>
      <c r="D39" s="178"/>
      <c r="E39" s="178"/>
      <c r="F39" s="183" t="e">
        <f>VLOOKUP(A39,ПТО!$A$39:$D$53,2,FALSE)</f>
        <v>#N/A</v>
      </c>
      <c r="G39" s="183"/>
      <c r="H39" s="42" t="e">
        <f>VLOOKUP(A39,ПТО!$A$39:$D$53,3,FALSE)</f>
        <v>#N/A</v>
      </c>
      <c r="I39" s="179" t="e">
        <f>VLOOKUP(A39,ПТО!$A$39:$D$53,4,FALSE)</f>
        <v>#N/A</v>
      </c>
      <c r="J39" s="179"/>
      <c r="K39" s="109"/>
      <c r="L39" s="19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8">
        <f>ПТО!A51</f>
        <v>0</v>
      </c>
      <c r="B40" s="178"/>
      <c r="C40" s="178"/>
      <c r="D40" s="178"/>
      <c r="E40" s="178"/>
      <c r="F40" s="183" t="e">
        <f>VLOOKUP(A40,ПТО!$A$39:$D$53,2,FALSE)</f>
        <v>#N/A</v>
      </c>
      <c r="G40" s="183"/>
      <c r="H40" s="42" t="e">
        <f>VLOOKUP(A40,ПТО!$A$39:$D$53,3,FALSE)</f>
        <v>#N/A</v>
      </c>
      <c r="I40" s="179" t="e">
        <f>VLOOKUP(A40,ПТО!$A$39:$D$53,4,FALSE)</f>
        <v>#N/A</v>
      </c>
      <c r="J40" s="179"/>
      <c r="K40" s="109"/>
      <c r="L40" s="19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8">
        <f>ПТО!A52</f>
        <v>0</v>
      </c>
      <c r="B41" s="178"/>
      <c r="C41" s="178"/>
      <c r="D41" s="178"/>
      <c r="E41" s="178"/>
      <c r="F41" s="183" t="e">
        <f>VLOOKUP(A41,ПТО!$A$39:$D$53,2,FALSE)</f>
        <v>#N/A</v>
      </c>
      <c r="G41" s="183"/>
      <c r="H41" s="42" t="e">
        <f>VLOOKUP(A41,ПТО!$A$39:$D$53,3,FALSE)</f>
        <v>#N/A</v>
      </c>
      <c r="I41" s="179" t="e">
        <f>VLOOKUP(A41,ПТО!$A$39:$D$53,4,FALSE)</f>
        <v>#N/A</v>
      </c>
      <c r="J41" s="179"/>
      <c r="K41" s="109"/>
      <c r="L41" s="19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8">
        <f>ПТО!A53</f>
        <v>0</v>
      </c>
      <c r="B42" s="178"/>
      <c r="C42" s="178"/>
      <c r="D42" s="178"/>
      <c r="E42" s="178"/>
      <c r="F42" s="183" t="e">
        <f>VLOOKUP(A42,ПТО!$A$39:$D$53,2,FALSE)</f>
        <v>#N/A</v>
      </c>
      <c r="G42" s="183"/>
      <c r="H42" s="42" t="e">
        <f>VLOOKUP(A42,ПТО!$A$39:$D$53,3,FALSE)</f>
        <v>#N/A</v>
      </c>
      <c r="I42" s="179" t="e">
        <f>VLOOKUP(A42,ПТО!$A$39:$D$53,4,FALSE)</f>
        <v>#N/A</v>
      </c>
      <c r="J42" s="179"/>
      <c r="K42" s="109"/>
      <c r="L42" s="19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8" t="str">
        <f>ПТО!A2</f>
        <v>Замена контактора в станции управления лифта.</v>
      </c>
      <c r="B43" s="178"/>
      <c r="C43" s="178"/>
      <c r="D43" s="178"/>
      <c r="E43" s="178"/>
      <c r="F43" s="183">
        <f>VLOOKUP(A43,ПТО!$A$2:$D$31,4,FALSE)</f>
        <v>1771</v>
      </c>
      <c r="G43" s="183"/>
      <c r="H43" s="19" t="str">
        <f>VLOOKUP(A43,ПТО!$A$2:$D$31,2,FALSE)</f>
        <v>разово</v>
      </c>
      <c r="I43" s="179">
        <f>VLOOKUP(A43,ПТО!$A$2:$D$31,3,FALSE)</f>
        <v>1</v>
      </c>
      <c r="J43" s="179"/>
      <c r="K43" s="109"/>
      <c r="L43" s="195"/>
      <c r="M43" s="115"/>
      <c r="N43" s="109"/>
      <c r="O43" s="23" t="str">
        <f t="shared" si="1"/>
        <v>Замена контактора в станции управления лифта.</v>
      </c>
      <c r="R43" s="22" t="s">
        <v>72</v>
      </c>
    </row>
    <row r="44" spans="1:18" ht="51" customHeight="1" outlineLevel="1">
      <c r="A44" s="178" t="str">
        <f>ПТО!A3</f>
        <v>Приобретение и установка доводчика на тамбурную дверь в подъезде.</v>
      </c>
      <c r="B44" s="178"/>
      <c r="C44" s="178"/>
      <c r="D44" s="178"/>
      <c r="E44" s="178"/>
      <c r="F44" s="183">
        <f>VLOOKUP(A44,ПТО!$A$2:$D$31,4,FALSE)</f>
        <v>2000</v>
      </c>
      <c r="G44" s="183"/>
      <c r="H44" s="25" t="str">
        <f>VLOOKUP(A44,ПТО!$A$2:$D$31,2,FALSE)</f>
        <v>разово</v>
      </c>
      <c r="I44" s="179">
        <f>VLOOKUP(A44,ПТО!$A$2:$D$31,3,FALSE)</f>
        <v>1</v>
      </c>
      <c r="J44" s="179"/>
      <c r="K44" s="109"/>
      <c r="L44" s="195"/>
      <c r="M44" s="115"/>
      <c r="N44" s="109"/>
      <c r="O44" s="23" t="str">
        <f t="shared" si="1"/>
        <v>Приобретение и установка доводчика на тамбурную дверь в подъезде.</v>
      </c>
      <c r="R44" s="22" t="s">
        <v>72</v>
      </c>
    </row>
    <row r="45" spans="1:18" ht="51" customHeight="1" outlineLevel="1">
      <c r="A45" s="178" t="str">
        <f>ПТО!A4</f>
        <v>Сброс снега с кровли.</v>
      </c>
      <c r="B45" s="178"/>
      <c r="C45" s="178"/>
      <c r="D45" s="178"/>
      <c r="E45" s="178"/>
      <c r="F45" s="183">
        <f>VLOOKUP(A45,ПТО!$A$2:$D$31,4,FALSE)</f>
        <v>16500</v>
      </c>
      <c r="G45" s="183"/>
      <c r="H45" s="25" t="str">
        <f>VLOOKUP(A45,ПТО!$A$2:$D$31,2,FALSE)</f>
        <v>разово</v>
      </c>
      <c r="I45" s="179">
        <f>VLOOKUP(A45,ПТО!$A$2:$D$31,3,FALSE)</f>
        <v>1</v>
      </c>
      <c r="J45" s="179"/>
      <c r="K45" s="109"/>
      <c r="L45" s="195"/>
      <c r="M45" s="115"/>
      <c r="N45" s="109"/>
      <c r="O45" s="23" t="str">
        <f t="shared" si="1"/>
        <v>Сброс снега с кровли.</v>
      </c>
      <c r="R45" s="22" t="s">
        <v>72</v>
      </c>
    </row>
    <row r="46" spans="1:18" ht="51" customHeight="1" outlineLevel="1">
      <c r="A46" s="178" t="str">
        <f>ПТО!A5</f>
        <v>Механизированная уборка и вывоз снега с придомовой территории.</v>
      </c>
      <c r="B46" s="178"/>
      <c r="C46" s="178"/>
      <c r="D46" s="178"/>
      <c r="E46" s="178"/>
      <c r="F46" s="183">
        <f>VLOOKUP(A46,ПТО!$A$2:$D$31,4,FALSE)</f>
        <v>42240</v>
      </c>
      <c r="G46" s="183"/>
      <c r="H46" s="25" t="str">
        <f>VLOOKUP(A46,ПТО!$A$2:$D$31,2,FALSE)</f>
        <v>разово</v>
      </c>
      <c r="I46" s="179">
        <f>VLOOKUP(A46,ПТО!$A$2:$D$31,3,FALSE)</f>
        <v>1</v>
      </c>
      <c r="J46" s="179"/>
      <c r="K46" s="109"/>
      <c r="L46" s="195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78" t="str">
        <f>ПТО!A6</f>
        <v>Ремонт блока управления "ECL comfort 210" в ТП.</v>
      </c>
      <c r="B47" s="178"/>
      <c r="C47" s="178"/>
      <c r="D47" s="178"/>
      <c r="E47" s="178"/>
      <c r="F47" s="183">
        <f>VLOOKUP(A47,ПТО!$A$2:$D$31,4,FALSE)</f>
        <v>2200</v>
      </c>
      <c r="G47" s="183"/>
      <c r="H47" s="25" t="str">
        <f>VLOOKUP(A47,ПТО!$A$2:$D$31,2,FALSE)</f>
        <v>разово</v>
      </c>
      <c r="I47" s="179">
        <f>VLOOKUP(A47,ПТО!$A$2:$D$31,3,FALSE)</f>
        <v>1</v>
      </c>
      <c r="J47" s="179"/>
      <c r="K47" s="109"/>
      <c r="L47" s="195"/>
      <c r="M47" s="115"/>
      <c r="N47" s="109"/>
      <c r="O47" s="23" t="str">
        <f t="shared" si="1"/>
        <v>Ремонт блока управления "ECL comfort 210" в ТП.</v>
      </c>
      <c r="R47" s="22" t="s">
        <v>72</v>
      </c>
    </row>
    <row r="48" spans="1:18" ht="51" customHeight="1" outlineLevel="1">
      <c r="A48" s="178" t="str">
        <f>ПТО!A7</f>
        <v>Приобретение и замена светильника над подъездом.</v>
      </c>
      <c r="B48" s="178"/>
      <c r="C48" s="178"/>
      <c r="D48" s="178"/>
      <c r="E48" s="178"/>
      <c r="F48" s="183">
        <f>VLOOKUP(A48,ПТО!$A$2:$D$31,4,FALSE)</f>
        <v>1600</v>
      </c>
      <c r="G48" s="183"/>
      <c r="H48" s="25" t="str">
        <f>VLOOKUP(A48,ПТО!$A$2:$D$31,2,FALSE)</f>
        <v>разово</v>
      </c>
      <c r="I48" s="179">
        <f>VLOOKUP(A48,ПТО!$A$2:$D$31,3,FALSE)</f>
        <v>1</v>
      </c>
      <c r="J48" s="179"/>
      <c r="K48" s="109"/>
      <c r="L48" s="195"/>
      <c r="M48" s="115"/>
      <c r="N48" s="109"/>
      <c r="O48" s="23" t="str">
        <f t="shared" si="1"/>
        <v>Приобретение и замена светильника над подъездом.</v>
      </c>
      <c r="R48" s="22" t="s">
        <v>72</v>
      </c>
    </row>
    <row r="49" spans="1:18" ht="51" customHeight="1" outlineLevel="1">
      <c r="A49" s="178" t="str">
        <f>ПТО!A8</f>
        <v>Благоустройство придомовой территории (разметка парковочных мест).</v>
      </c>
      <c r="B49" s="178"/>
      <c r="C49" s="178"/>
      <c r="D49" s="178"/>
      <c r="E49" s="178"/>
      <c r="F49" s="183">
        <f>VLOOKUP(A49,ПТО!$A$2:$D$31,4,FALSE)</f>
        <v>2296</v>
      </c>
      <c r="G49" s="183"/>
      <c r="H49" s="25" t="str">
        <f>VLOOKUP(A49,ПТО!$A$2:$D$31,2,FALSE)</f>
        <v>разово</v>
      </c>
      <c r="I49" s="179">
        <f>VLOOKUP(A49,ПТО!$A$2:$D$31,3,FALSE)</f>
        <v>1</v>
      </c>
      <c r="J49" s="179"/>
      <c r="K49" s="109"/>
      <c r="L49" s="195"/>
      <c r="M49" s="115"/>
      <c r="N49" s="109"/>
      <c r="O49" s="23" t="str">
        <f t="shared" si="1"/>
        <v>Благоустройство придомовой территории (разметка парковочных мест).</v>
      </c>
      <c r="R49" s="22" t="s">
        <v>72</v>
      </c>
    </row>
    <row r="50" spans="1:18" ht="51" customHeight="1" outlineLevel="1">
      <c r="A50" s="178" t="str">
        <f>ПТО!A9</f>
        <v>Благоустройство придомовой территории (завоз песка).</v>
      </c>
      <c r="B50" s="178"/>
      <c r="C50" s="178"/>
      <c r="D50" s="178"/>
      <c r="E50" s="178"/>
      <c r="F50" s="183">
        <f>VLOOKUP(A50,ПТО!$A$2:$D$31,4,FALSE)</f>
        <v>650</v>
      </c>
      <c r="G50" s="183"/>
      <c r="H50" s="25" t="str">
        <f>VLOOKUP(A50,ПТО!$A$2:$D$31,2,FALSE)</f>
        <v>разово</v>
      </c>
      <c r="I50" s="179">
        <f>VLOOKUP(A50,ПТО!$A$2:$D$31,3,FALSE)</f>
        <v>1</v>
      </c>
      <c r="J50" s="179"/>
      <c r="K50" s="109"/>
      <c r="L50" s="195"/>
      <c r="M50" s="115"/>
      <c r="N50" s="109"/>
      <c r="O50" s="23" t="str">
        <f t="shared" si="1"/>
        <v>Благоустройство придомовой территории (завоз песка).</v>
      </c>
      <c r="R50" s="22" t="s">
        <v>72</v>
      </c>
    </row>
    <row r="51" spans="1:18" ht="51" customHeight="1" outlineLevel="1">
      <c r="A51" s="178" t="str">
        <f>ПТО!A10</f>
        <v>Ремонт подъезда (покраска полов на 9 этаже).</v>
      </c>
      <c r="B51" s="178"/>
      <c r="C51" s="178"/>
      <c r="D51" s="178"/>
      <c r="E51" s="178"/>
      <c r="F51" s="183">
        <f>VLOOKUP(A51,ПТО!$A$2:$D$31,4,FALSE)</f>
        <v>3420</v>
      </c>
      <c r="G51" s="183"/>
      <c r="H51" s="25" t="str">
        <f>VLOOKUP(A51,ПТО!$A$2:$D$31,2,FALSE)</f>
        <v>разово</v>
      </c>
      <c r="I51" s="179">
        <f>VLOOKUP(A51,ПТО!$A$2:$D$31,3,FALSE)</f>
        <v>1</v>
      </c>
      <c r="J51" s="179"/>
      <c r="K51" s="109"/>
      <c r="L51" s="195"/>
      <c r="M51" s="115"/>
      <c r="N51" s="109"/>
      <c r="O51" s="23" t="str">
        <f t="shared" si="1"/>
        <v>Ремонт подъезда (покраска полов на 9 этаже).</v>
      </c>
      <c r="R51" s="22" t="s">
        <v>72</v>
      </c>
    </row>
    <row r="52" spans="1:18" ht="51" customHeight="1" outlineLevel="1">
      <c r="A52" s="178" t="str">
        <f>ПТО!A11</f>
        <v>Сварочные работы в тепловом пункте (замена шаровых кранов).</v>
      </c>
      <c r="B52" s="178"/>
      <c r="C52" s="178"/>
      <c r="D52" s="178"/>
      <c r="E52" s="178"/>
      <c r="F52" s="183">
        <f>VLOOKUP(A52,ПТО!$A$2:$D$31,4,FALSE)</f>
        <v>3000</v>
      </c>
      <c r="G52" s="183"/>
      <c r="H52" s="25" t="str">
        <f>VLOOKUP(A52,ПТО!$A$2:$D$31,2,FALSE)</f>
        <v>разово</v>
      </c>
      <c r="I52" s="179">
        <f>VLOOKUP(A52,ПТО!$A$2:$D$31,3,FALSE)</f>
        <v>1</v>
      </c>
      <c r="J52" s="179"/>
      <c r="K52" s="109"/>
      <c r="L52" s="195"/>
      <c r="M52" s="115"/>
      <c r="N52" s="109"/>
      <c r="O52" s="23" t="str">
        <f t="shared" si="1"/>
        <v>Сварочные работы в тепловом пункте (замена шаровых кранов).</v>
      </c>
      <c r="R52" s="22" t="s">
        <v>72</v>
      </c>
    </row>
    <row r="53" spans="1:18" ht="51" customHeight="1" outlineLevel="1">
      <c r="A53" s="178" t="str">
        <f>ПТО!A12</f>
        <v>Приобретение и замена шаровых кранов в тепловом пункте (Ду-80 и Ду-65).</v>
      </c>
      <c r="B53" s="178"/>
      <c r="C53" s="178"/>
      <c r="D53" s="178"/>
      <c r="E53" s="178"/>
      <c r="F53" s="183">
        <f>VLOOKUP(A53,ПТО!$A$2:$D$31,4,FALSE)</f>
        <v>1981</v>
      </c>
      <c r="G53" s="183"/>
      <c r="H53" s="25" t="str">
        <f>VLOOKUP(A53,ПТО!$A$2:$D$31,2,FALSE)</f>
        <v>разово</v>
      </c>
      <c r="I53" s="179">
        <f>VLOOKUP(A53,ПТО!$A$2:$D$31,3,FALSE)</f>
        <v>1</v>
      </c>
      <c r="J53" s="179"/>
      <c r="K53" s="109"/>
      <c r="L53" s="195"/>
      <c r="M53" s="115"/>
      <c r="N53" s="109"/>
      <c r="O53" s="23" t="str">
        <f t="shared" si="1"/>
        <v>Приобретение и замена шаровых кранов в тепловом пункте (Ду-80 и Ду-65).</v>
      </c>
      <c r="R53" s="22" t="s">
        <v>72</v>
      </c>
    </row>
    <row r="54" spans="1:18" ht="51" customHeight="1" outlineLevel="1">
      <c r="A54" s="178" t="str">
        <f>ПТО!A13</f>
        <v>Приобретение и монтаж аншлага с номером дома.</v>
      </c>
      <c r="B54" s="178"/>
      <c r="C54" s="178"/>
      <c r="D54" s="178"/>
      <c r="E54" s="178"/>
      <c r="F54" s="183">
        <f>VLOOKUP(A54,ПТО!$A$2:$D$31,4,FALSE)</f>
        <v>408</v>
      </c>
      <c r="G54" s="183"/>
      <c r="H54" s="25" t="str">
        <f>VLOOKUP(A54,ПТО!$A$2:$D$31,2,FALSE)</f>
        <v>разово</v>
      </c>
      <c r="I54" s="179">
        <f>VLOOKUP(A54,ПТО!$A$2:$D$31,3,FALSE)</f>
        <v>1</v>
      </c>
      <c r="J54" s="179"/>
      <c r="K54" s="109"/>
      <c r="L54" s="195"/>
      <c r="M54" s="115"/>
      <c r="N54" s="109"/>
      <c r="O54" s="23" t="str">
        <f t="shared" si="1"/>
        <v>Приобретение и монтаж аншлага с номером дома.</v>
      </c>
      <c r="R54" s="22" t="s">
        <v>72</v>
      </c>
    </row>
    <row r="55" spans="1:18" ht="51" customHeight="1" outlineLevel="1">
      <c r="A55" s="178" t="str">
        <f>ПТО!A14</f>
        <v>Приобретение и замена манометров в тепловой пункт.</v>
      </c>
      <c r="B55" s="178"/>
      <c r="C55" s="178"/>
      <c r="D55" s="178"/>
      <c r="E55" s="178"/>
      <c r="F55" s="183">
        <f>VLOOKUP(A55,ПТО!$A$2:$D$31,4,FALSE)</f>
        <v>437</v>
      </c>
      <c r="G55" s="183"/>
      <c r="H55" s="25" t="str">
        <f>VLOOKUP(A55,ПТО!$A$2:$D$31,2,FALSE)</f>
        <v>разово</v>
      </c>
      <c r="I55" s="179">
        <f>VLOOKUP(A55,ПТО!$A$2:$D$31,3,FALSE)</f>
        <v>1</v>
      </c>
      <c r="J55" s="179"/>
      <c r="K55" s="109"/>
      <c r="L55" s="195"/>
      <c r="M55" s="115"/>
      <c r="N55" s="109"/>
      <c r="O55" s="23" t="str">
        <f t="shared" si="1"/>
        <v>Приобретение и замена манометров в тепловой пункт.</v>
      </c>
      <c r="R55" s="22" t="s">
        <v>72</v>
      </c>
    </row>
    <row r="56" spans="1:18" ht="51" customHeight="1" outlineLevel="1">
      <c r="A56" s="178" t="str">
        <f>ПТО!A15</f>
        <v>Обшивка вентиляционных шахт (кв. 83).</v>
      </c>
      <c r="B56" s="178"/>
      <c r="C56" s="178"/>
      <c r="D56" s="178"/>
      <c r="E56" s="178"/>
      <c r="F56" s="183">
        <f>VLOOKUP(A56,ПТО!$A$2:$D$31,4,FALSE)</f>
        <v>31642</v>
      </c>
      <c r="G56" s="183"/>
      <c r="H56" s="25" t="str">
        <f>VLOOKUP(A56,ПТО!$A$2:$D$31,2,FALSE)</f>
        <v>разово</v>
      </c>
      <c r="I56" s="179">
        <f>VLOOKUP(A56,ПТО!$A$2:$D$31,3,FALSE)</f>
        <v>1</v>
      </c>
      <c r="J56" s="179"/>
      <c r="K56" s="109"/>
      <c r="L56" s="195"/>
      <c r="M56" s="115"/>
      <c r="N56" s="109"/>
      <c r="O56" s="23" t="str">
        <f t="shared" si="1"/>
        <v>Обшивка вентиляционных шахт (кв. 83).</v>
      </c>
      <c r="R56" s="22" t="s">
        <v>72</v>
      </c>
    </row>
    <row r="57" spans="1:18" ht="51" customHeight="1" outlineLevel="1">
      <c r="A57" s="178" t="str">
        <f>ПТО!A16</f>
        <v>Сварочные работы в тепловом пункте (восстановление опор расширительного бака).</v>
      </c>
      <c r="B57" s="178"/>
      <c r="C57" s="178"/>
      <c r="D57" s="178"/>
      <c r="E57" s="178"/>
      <c r="F57" s="183">
        <f>VLOOKUP(A57,ПТО!$A$2:$D$31,4,FALSE)</f>
        <v>1800</v>
      </c>
      <c r="G57" s="183"/>
      <c r="H57" s="25" t="str">
        <f>VLOOKUP(A57,ПТО!$A$2:$D$31,2,FALSE)</f>
        <v>разово</v>
      </c>
      <c r="I57" s="179">
        <f>VLOOKUP(A57,ПТО!$A$2:$D$31,3,FALSE)</f>
        <v>1</v>
      </c>
      <c r="J57" s="179"/>
      <c r="K57" s="109"/>
      <c r="L57" s="195"/>
      <c r="M57" s="115"/>
      <c r="N57" s="109"/>
      <c r="O57" s="23" t="str">
        <f t="shared" si="1"/>
        <v>Сварочные работы в тепловом пункте (восстановление опор расширительного бака).</v>
      </c>
      <c r="R57" s="22" t="s">
        <v>72</v>
      </c>
    </row>
    <row r="58" spans="1:18" ht="51" customHeight="1" outlineLevel="1">
      <c r="A58" s="178" t="str">
        <f>ПТО!A17</f>
        <v>Обшивка вентиляционных шахт (кухня, с/узел кв. 89).</v>
      </c>
      <c r="B58" s="178"/>
      <c r="C58" s="178"/>
      <c r="D58" s="178"/>
      <c r="E58" s="178"/>
      <c r="F58" s="183">
        <f>VLOOKUP(A58,ПТО!$A$2:$D$31,4,FALSE)</f>
        <v>67874</v>
      </c>
      <c r="G58" s="183"/>
      <c r="H58" s="25" t="str">
        <f>VLOOKUP(A58,ПТО!$A$2:$D$31,2,FALSE)</f>
        <v>разово</v>
      </c>
      <c r="I58" s="179">
        <f>VLOOKUP(A58,ПТО!$A$2:$D$31,3,FALSE)</f>
        <v>1</v>
      </c>
      <c r="J58" s="179"/>
      <c r="K58" s="109"/>
      <c r="L58" s="195"/>
      <c r="M58" s="115"/>
      <c r="N58" s="109"/>
      <c r="O58" s="23" t="str">
        <f t="shared" si="1"/>
        <v>Обшивка вентиляционных шахт (кухня, с/узел кв. 89).</v>
      </c>
      <c r="R58" s="22" t="s">
        <v>72</v>
      </c>
    </row>
    <row r="59" spans="1:18" ht="51" customHeight="1" outlineLevel="1">
      <c r="A59" s="178" t="str">
        <f>ПТО!A18</f>
        <v>Замена охранного прибора GSM с выносной антеной и АКБ.</v>
      </c>
      <c r="B59" s="178"/>
      <c r="C59" s="178"/>
      <c r="D59" s="178"/>
      <c r="E59" s="178"/>
      <c r="F59" s="183">
        <f>VLOOKUP(A59,ПТО!$A$2:$D$31,4,FALSE)</f>
        <v>3312</v>
      </c>
      <c r="G59" s="183"/>
      <c r="H59" s="25" t="str">
        <f>VLOOKUP(A59,ПТО!$A$2:$D$31,2,FALSE)</f>
        <v>разово</v>
      </c>
      <c r="I59" s="179">
        <f>VLOOKUP(A59,ПТО!$A$2:$D$31,3,FALSE)</f>
        <v>1</v>
      </c>
      <c r="J59" s="179"/>
      <c r="K59" s="109"/>
      <c r="L59" s="195"/>
      <c r="M59" s="115"/>
      <c r="N59" s="109"/>
      <c r="O59" s="23" t="str">
        <f t="shared" si="1"/>
        <v>Замена охранного прибора GSM с выносной антеной и АКБ.</v>
      </c>
      <c r="R59" s="22" t="s">
        <v>72</v>
      </c>
    </row>
    <row r="60" spans="1:18" ht="51" hidden="1" customHeight="1" outlineLevel="1">
      <c r="A60" s="178">
        <f>ПТО!A19</f>
        <v>0</v>
      </c>
      <c r="B60" s="178"/>
      <c r="C60" s="178"/>
      <c r="D60" s="178"/>
      <c r="E60" s="178"/>
      <c r="F60" s="183" t="e">
        <f>VLOOKUP(A60,ПТО!$A$2:$D$31,4,FALSE)</f>
        <v>#N/A</v>
      </c>
      <c r="G60" s="183"/>
      <c r="H60" s="25" t="e">
        <f>VLOOKUP(A60,ПТО!$A$2:$D$31,2,FALSE)</f>
        <v>#N/A</v>
      </c>
      <c r="I60" s="179" t="e">
        <f>VLOOKUP(A60,ПТО!$A$2:$D$31,3,FALSE)</f>
        <v>#N/A</v>
      </c>
      <c r="J60" s="179"/>
      <c r="K60" s="109"/>
      <c r="L60" s="19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8">
        <f>ПТО!A20</f>
        <v>0</v>
      </c>
      <c r="B61" s="178"/>
      <c r="C61" s="178"/>
      <c r="D61" s="178"/>
      <c r="E61" s="178"/>
      <c r="F61" s="183" t="e">
        <f>VLOOKUP(A61,ПТО!$A$2:$D$31,4,FALSE)</f>
        <v>#N/A</v>
      </c>
      <c r="G61" s="183"/>
      <c r="H61" s="25" t="e">
        <f>VLOOKUP(A61,ПТО!$A$2:$D$31,2,FALSE)</f>
        <v>#N/A</v>
      </c>
      <c r="I61" s="179" t="e">
        <f>VLOOKUP(A61,ПТО!$A$2:$D$31,3,FALSE)</f>
        <v>#N/A</v>
      </c>
      <c r="J61" s="179"/>
      <c r="K61" s="109"/>
      <c r="L61" s="19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8">
        <f>ПТО!A21</f>
        <v>0</v>
      </c>
      <c r="B62" s="178"/>
      <c r="C62" s="178"/>
      <c r="D62" s="178"/>
      <c r="E62" s="178"/>
      <c r="F62" s="183" t="e">
        <f>VLOOKUP(A62,ПТО!$A$2:$D$31,4,FALSE)</f>
        <v>#N/A</v>
      </c>
      <c r="G62" s="183"/>
      <c r="H62" s="25" t="e">
        <f>VLOOKUP(A62,ПТО!$A$2:$D$31,2,FALSE)</f>
        <v>#N/A</v>
      </c>
      <c r="I62" s="179" t="e">
        <f>VLOOKUP(A62,ПТО!$A$2:$D$31,3,FALSE)</f>
        <v>#N/A</v>
      </c>
      <c r="J62" s="179"/>
      <c r="K62" s="109"/>
      <c r="L62" s="19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8">
        <f>ПТО!A22</f>
        <v>0</v>
      </c>
      <c r="B63" s="178"/>
      <c r="C63" s="178"/>
      <c r="D63" s="178"/>
      <c r="E63" s="178"/>
      <c r="F63" s="183" t="e">
        <f>VLOOKUP(A63,ПТО!$A$2:$D$31,4,FALSE)</f>
        <v>#N/A</v>
      </c>
      <c r="G63" s="183"/>
      <c r="H63" s="25" t="e">
        <f>VLOOKUP(A63,ПТО!$A$2:$D$31,2,FALSE)</f>
        <v>#N/A</v>
      </c>
      <c r="I63" s="179" t="e">
        <f>VLOOKUP(A63,ПТО!$A$2:$D$31,3,FALSE)</f>
        <v>#N/A</v>
      </c>
      <c r="J63" s="179"/>
      <c r="K63" s="109"/>
      <c r="L63" s="19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8">
        <f>ПТО!A23</f>
        <v>0</v>
      </c>
      <c r="B64" s="178"/>
      <c r="C64" s="178"/>
      <c r="D64" s="178"/>
      <c r="E64" s="178"/>
      <c r="F64" s="183" t="e">
        <f>VLOOKUP(A64,ПТО!$A$2:$D$31,4,FALSE)</f>
        <v>#N/A</v>
      </c>
      <c r="G64" s="183"/>
      <c r="H64" s="25" t="e">
        <f>VLOOKUP(A64,ПТО!$A$2:$D$31,2,FALSE)</f>
        <v>#N/A</v>
      </c>
      <c r="I64" s="179" t="e">
        <f>VLOOKUP(A64,ПТО!$A$2:$D$31,3,FALSE)</f>
        <v>#N/A</v>
      </c>
      <c r="J64" s="179"/>
      <c r="K64" s="109"/>
      <c r="L64" s="19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8">
        <f>ПТО!A24</f>
        <v>0</v>
      </c>
      <c r="B65" s="178"/>
      <c r="C65" s="178"/>
      <c r="D65" s="178"/>
      <c r="E65" s="178"/>
      <c r="F65" s="183" t="e">
        <f>VLOOKUP(A65,ПТО!$A$2:$D$31,4,FALSE)</f>
        <v>#N/A</v>
      </c>
      <c r="G65" s="183"/>
      <c r="H65" s="25" t="e">
        <f>VLOOKUP(A65,ПТО!$A$2:$D$31,2,FALSE)</f>
        <v>#N/A</v>
      </c>
      <c r="I65" s="179" t="e">
        <f>VLOOKUP(A65,ПТО!$A$2:$D$31,3,FALSE)</f>
        <v>#N/A</v>
      </c>
      <c r="J65" s="179"/>
      <c r="K65" s="109"/>
      <c r="L65" s="19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8">
        <f>ПТО!A25</f>
        <v>0</v>
      </c>
      <c r="B66" s="178"/>
      <c r="C66" s="178"/>
      <c r="D66" s="178"/>
      <c r="E66" s="178"/>
      <c r="F66" s="183" t="e">
        <f>VLOOKUP(A66,ПТО!$A$2:$D$31,4,FALSE)</f>
        <v>#N/A</v>
      </c>
      <c r="G66" s="183"/>
      <c r="H66" s="25" t="e">
        <f>VLOOKUP(A66,ПТО!$A$2:$D$31,2,FALSE)</f>
        <v>#N/A</v>
      </c>
      <c r="I66" s="179" t="e">
        <f>VLOOKUP(A66,ПТО!$A$2:$D$31,3,FALSE)</f>
        <v>#N/A</v>
      </c>
      <c r="J66" s="179"/>
      <c r="K66" s="109"/>
      <c r="L66" s="19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8">
        <f>ПТО!A26</f>
        <v>0</v>
      </c>
      <c r="B67" s="178"/>
      <c r="C67" s="178"/>
      <c r="D67" s="178"/>
      <c r="E67" s="178"/>
      <c r="F67" s="183" t="e">
        <f>VLOOKUP(A67,ПТО!$A$2:$D$31,4,FALSE)</f>
        <v>#N/A</v>
      </c>
      <c r="G67" s="183"/>
      <c r="H67" s="25" t="e">
        <f>VLOOKUP(A67,ПТО!$A$2:$D$31,2,FALSE)</f>
        <v>#N/A</v>
      </c>
      <c r="I67" s="179" t="e">
        <f>VLOOKUP(A67,ПТО!$A$2:$D$31,3,FALSE)</f>
        <v>#N/A</v>
      </c>
      <c r="J67" s="179"/>
      <c r="K67" s="109"/>
      <c r="L67" s="19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8">
        <f>ПТО!A27</f>
        <v>0</v>
      </c>
      <c r="B68" s="178"/>
      <c r="C68" s="178"/>
      <c r="D68" s="178"/>
      <c r="E68" s="178"/>
      <c r="F68" s="183" t="e">
        <f>VLOOKUP(A68,ПТО!$A$2:$D$31,4,FALSE)</f>
        <v>#N/A</v>
      </c>
      <c r="G68" s="183"/>
      <c r="H68" s="25" t="e">
        <f>VLOOKUP(A68,ПТО!$A$2:$D$31,2,FALSE)</f>
        <v>#N/A</v>
      </c>
      <c r="I68" s="179" t="e">
        <f>VLOOKUP(A68,ПТО!$A$2:$D$31,3,FALSE)</f>
        <v>#N/A</v>
      </c>
      <c r="J68" s="179"/>
      <c r="K68" s="109"/>
      <c r="L68" s="19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8">
        <f>ПТО!A28</f>
        <v>0</v>
      </c>
      <c r="B69" s="178"/>
      <c r="C69" s="178"/>
      <c r="D69" s="178"/>
      <c r="E69" s="178"/>
      <c r="F69" s="183" t="e">
        <f>VLOOKUP(A69,ПТО!$A$2:$D$31,4,FALSE)</f>
        <v>#N/A</v>
      </c>
      <c r="G69" s="183"/>
      <c r="H69" s="25" t="e">
        <f>VLOOKUP(A69,ПТО!$A$2:$D$31,2,FALSE)</f>
        <v>#N/A</v>
      </c>
      <c r="I69" s="179" t="e">
        <f>VLOOKUP(A69,ПТО!$A$2:$D$31,3,FALSE)</f>
        <v>#N/A</v>
      </c>
      <c r="J69" s="179"/>
      <c r="K69" s="109"/>
      <c r="L69" s="19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8">
        <f>ПТО!A29</f>
        <v>0</v>
      </c>
      <c r="B70" s="178"/>
      <c r="C70" s="178"/>
      <c r="D70" s="178"/>
      <c r="E70" s="178"/>
      <c r="F70" s="183" t="e">
        <f>VLOOKUP(A70,ПТО!$A$2:$D$31,4,FALSE)</f>
        <v>#N/A</v>
      </c>
      <c r="G70" s="183"/>
      <c r="H70" s="25" t="e">
        <f>VLOOKUP(A70,ПТО!$A$2:$D$31,2,FALSE)</f>
        <v>#N/A</v>
      </c>
      <c r="I70" s="179" t="e">
        <f>VLOOKUP(A70,ПТО!$A$2:$D$31,3,FALSE)</f>
        <v>#N/A</v>
      </c>
      <c r="J70" s="179"/>
      <c r="K70" s="109"/>
      <c r="L70" s="19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8">
        <f>ПТО!A30</f>
        <v>0</v>
      </c>
      <c r="B71" s="178"/>
      <c r="C71" s="178"/>
      <c r="D71" s="178"/>
      <c r="E71" s="178"/>
      <c r="F71" s="183" t="e">
        <f>VLOOKUP(A71,ПТО!$A$2:$D$31,4,FALSE)</f>
        <v>#N/A</v>
      </c>
      <c r="G71" s="183"/>
      <c r="H71" s="25" t="e">
        <f>VLOOKUP(A71,ПТО!$A$2:$D$31,2,FALSE)</f>
        <v>#N/A</v>
      </c>
      <c r="I71" s="179" t="e">
        <f>VLOOKUP(A71,ПТО!$A$2:$D$31,3,FALSE)</f>
        <v>#N/A</v>
      </c>
      <c r="J71" s="179"/>
      <c r="K71" s="115"/>
      <c r="L71" s="19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8">
        <f>ПТО!A31</f>
        <v>0</v>
      </c>
      <c r="B72" s="178"/>
      <c r="C72" s="178"/>
      <c r="D72" s="178"/>
      <c r="E72" s="178"/>
      <c r="F72" s="183" t="e">
        <f>VLOOKUP(A72,ПТО!$A$2:$D$31,4,FALSE)</f>
        <v>#N/A</v>
      </c>
      <c r="G72" s="183"/>
      <c r="H72" s="25" t="e">
        <f>VLOOKUP(A72,ПТО!$A$2:$D$31,2,FALSE)</f>
        <v>#N/A</v>
      </c>
      <c r="I72" s="179" t="e">
        <f>VLOOKUP(A72,ПТО!$A$2:$D$31,3,FALSE)</f>
        <v>#N/A</v>
      </c>
      <c r="J72" s="179"/>
      <c r="K72" s="109"/>
      <c r="L72" s="19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6" t="s">
        <v>27</v>
      </c>
      <c r="B75" s="196"/>
      <c r="C75" s="196"/>
      <c r="D75" s="196"/>
      <c r="E75" s="196"/>
      <c r="F75" s="196"/>
      <c r="G75" s="196"/>
      <c r="H75" s="196"/>
      <c r="I75" s="196"/>
      <c r="J75" s="8">
        <f>VLOOKUP(O75,АО,3,FALSE)</f>
        <v>0</v>
      </c>
      <c r="K75" s="109"/>
      <c r="L75" s="198"/>
      <c r="M75" s="109"/>
      <c r="N75" s="109"/>
      <c r="O75" s="70" t="s">
        <v>98</v>
      </c>
    </row>
    <row r="76" spans="1:16384" ht="18.75" customHeight="1" outlineLevel="1">
      <c r="A76" s="196" t="s">
        <v>28</v>
      </c>
      <c r="B76" s="196"/>
      <c r="C76" s="196"/>
      <c r="D76" s="196"/>
      <c r="E76" s="196"/>
      <c r="F76" s="196"/>
      <c r="G76" s="196"/>
      <c r="H76" s="196"/>
      <c r="I76" s="196"/>
      <c r="J76" s="8">
        <f>VLOOKUP(O76,АО,3,FALSE)</f>
        <v>0</v>
      </c>
      <c r="K76" s="109"/>
      <c r="L76" s="198"/>
      <c r="M76" s="109"/>
      <c r="N76" s="109"/>
      <c r="O76" s="70" t="s">
        <v>99</v>
      </c>
    </row>
    <row r="77" spans="1:16384" ht="21.75" customHeight="1" outlineLevel="1">
      <c r="A77" s="196" t="s">
        <v>29</v>
      </c>
      <c r="B77" s="196"/>
      <c r="C77" s="196"/>
      <c r="D77" s="196"/>
      <c r="E77" s="196"/>
      <c r="F77" s="196"/>
      <c r="G77" s="196"/>
      <c r="H77" s="196"/>
      <c r="I77" s="196"/>
      <c r="J77" s="8">
        <f>VLOOKUP(O77,АО,3,FALSE)</f>
        <v>0</v>
      </c>
      <c r="K77" s="109"/>
      <c r="L77" s="198"/>
      <c r="M77" s="109"/>
      <c r="N77" s="109"/>
      <c r="O77" s="70" t="s">
        <v>100</v>
      </c>
    </row>
    <row r="78" spans="1:16384" ht="18.75" customHeight="1" outlineLevel="1">
      <c r="A78" s="196" t="s">
        <v>30</v>
      </c>
      <c r="B78" s="196"/>
      <c r="C78" s="196"/>
      <c r="D78" s="196"/>
      <c r="E78" s="196"/>
      <c r="F78" s="196"/>
      <c r="G78" s="196"/>
      <c r="H78" s="196"/>
      <c r="I78" s="196"/>
      <c r="J78" s="97">
        <f>VLOOKUP(O78,АО,3,FALSE)</f>
        <v>0</v>
      </c>
      <c r="K78" s="109"/>
      <c r="L78" s="19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6" t="s">
        <v>2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84"/>
      <c r="M81" s="109"/>
      <c r="N81" s="109"/>
      <c r="O81" s="70" t="s">
        <v>102</v>
      </c>
    </row>
    <row r="82" spans="1:15" outlineLevel="1">
      <c r="A82" s="176" t="s">
        <v>3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84"/>
      <c r="M82" s="109"/>
      <c r="N82" s="109"/>
      <c r="O82" s="70" t="s">
        <v>103</v>
      </c>
    </row>
    <row r="83" spans="1:15" outlineLevel="1">
      <c r="A83" s="190" t="s">
        <v>4</v>
      </c>
      <c r="B83" s="191"/>
      <c r="C83" s="191"/>
      <c r="D83" s="191"/>
      <c r="E83" s="191"/>
      <c r="F83" s="191"/>
      <c r="G83" s="191"/>
      <c r="H83" s="191"/>
      <c r="I83" s="192"/>
      <c r="J83" s="97">
        <f t="shared" si="2"/>
        <v>150524.22</v>
      </c>
      <c r="K83" s="109"/>
      <c r="L83" s="184"/>
      <c r="M83" s="109"/>
      <c r="N83" s="109"/>
      <c r="O83" s="70" t="s">
        <v>104</v>
      </c>
    </row>
    <row r="84" spans="1:15" outlineLevel="1">
      <c r="A84" s="190" t="s">
        <v>16</v>
      </c>
      <c r="B84" s="191"/>
      <c r="C84" s="191"/>
      <c r="D84" s="191"/>
      <c r="E84" s="191"/>
      <c r="F84" s="191"/>
      <c r="G84" s="191"/>
      <c r="H84" s="191"/>
      <c r="I84" s="192"/>
      <c r="J84" s="97">
        <f t="shared" si="2"/>
        <v>0</v>
      </c>
      <c r="K84" s="109"/>
      <c r="L84" s="184"/>
      <c r="M84" s="109"/>
      <c r="N84" s="109"/>
      <c r="O84" s="70" t="s">
        <v>105</v>
      </c>
    </row>
    <row r="85" spans="1:15" outlineLevel="1">
      <c r="A85" s="190" t="s">
        <v>17</v>
      </c>
      <c r="B85" s="191"/>
      <c r="C85" s="191"/>
      <c r="D85" s="191"/>
      <c r="E85" s="191"/>
      <c r="F85" s="191"/>
      <c r="G85" s="191"/>
      <c r="H85" s="191"/>
      <c r="I85" s="192"/>
      <c r="J85" s="97">
        <f t="shared" si="2"/>
        <v>0</v>
      </c>
      <c r="K85" s="109"/>
      <c r="L85" s="184"/>
      <c r="M85" s="109"/>
      <c r="N85" s="109"/>
      <c r="O85" s="70" t="s">
        <v>106</v>
      </c>
    </row>
    <row r="86" spans="1:15" outlineLevel="1">
      <c r="A86" s="190" t="s">
        <v>18</v>
      </c>
      <c r="B86" s="191"/>
      <c r="C86" s="191"/>
      <c r="D86" s="191"/>
      <c r="E86" s="191"/>
      <c r="F86" s="191"/>
      <c r="G86" s="191"/>
      <c r="H86" s="191"/>
      <c r="I86" s="192"/>
      <c r="J86" s="97">
        <f t="shared" si="2"/>
        <v>0</v>
      </c>
      <c r="K86" s="109"/>
      <c r="L86" s="184"/>
      <c r="M86" s="109"/>
      <c r="N86" s="109"/>
      <c r="O86" s="70" t="s">
        <v>107</v>
      </c>
    </row>
    <row r="87" spans="1:15" ht="18.75" customHeight="1" outlineLevel="1">
      <c r="A87" s="190" t="s">
        <v>27</v>
      </c>
      <c r="B87" s="191"/>
      <c r="C87" s="191"/>
      <c r="D87" s="191"/>
      <c r="E87" s="191"/>
      <c r="F87" s="191"/>
      <c r="G87" s="191"/>
      <c r="H87" s="191"/>
      <c r="I87" s="192"/>
      <c r="J87" s="8">
        <f t="shared" si="2"/>
        <v>0</v>
      </c>
      <c r="K87" s="109"/>
      <c r="L87" s="184"/>
      <c r="M87" s="109"/>
      <c r="N87" s="109"/>
      <c r="O87" s="70" t="s">
        <v>108</v>
      </c>
    </row>
    <row r="88" spans="1:15" ht="18.75" customHeight="1" outlineLevel="1">
      <c r="A88" s="190" t="s">
        <v>28</v>
      </c>
      <c r="B88" s="191"/>
      <c r="C88" s="191"/>
      <c r="D88" s="191"/>
      <c r="E88" s="191"/>
      <c r="F88" s="191"/>
      <c r="G88" s="191"/>
      <c r="H88" s="191"/>
      <c r="I88" s="192"/>
      <c r="J88" s="8">
        <f t="shared" si="2"/>
        <v>0</v>
      </c>
      <c r="K88" s="109"/>
      <c r="L88" s="184"/>
      <c r="M88" s="109"/>
      <c r="N88" s="109"/>
      <c r="O88" s="70" t="s">
        <v>109</v>
      </c>
    </row>
    <row r="89" spans="1:15" ht="18.75" customHeight="1" outlineLevel="1">
      <c r="A89" s="190" t="s">
        <v>29</v>
      </c>
      <c r="B89" s="191"/>
      <c r="C89" s="191"/>
      <c r="D89" s="191"/>
      <c r="E89" s="191"/>
      <c r="F89" s="191"/>
      <c r="G89" s="191"/>
      <c r="H89" s="191"/>
      <c r="I89" s="192"/>
      <c r="J89" s="8">
        <f t="shared" si="2"/>
        <v>0</v>
      </c>
      <c r="K89" s="109"/>
      <c r="L89" s="184"/>
      <c r="M89" s="109"/>
      <c r="N89" s="109"/>
      <c r="O89" s="70" t="s">
        <v>110</v>
      </c>
    </row>
    <row r="90" spans="1:15" ht="18.75" customHeight="1" outlineLevel="1">
      <c r="A90" s="190" t="s">
        <v>30</v>
      </c>
      <c r="B90" s="191"/>
      <c r="C90" s="191"/>
      <c r="D90" s="191"/>
      <c r="E90" s="191"/>
      <c r="F90" s="191"/>
      <c r="G90" s="191"/>
      <c r="H90" s="191"/>
      <c r="I90" s="192"/>
      <c r="J90" s="97">
        <f t="shared" si="2"/>
        <v>0</v>
      </c>
      <c r="K90" s="109"/>
      <c r="L90" s="18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9" t="s">
        <v>48</v>
      </c>
      <c r="B93" s="199"/>
      <c r="C93" s="199"/>
      <c r="D93" s="200" t="s">
        <v>49</v>
      </c>
      <c r="E93" s="200"/>
      <c r="F93" s="10" t="s">
        <v>50</v>
      </c>
      <c r="G93" s="199" t="s">
        <v>51</v>
      </c>
      <c r="H93" s="199"/>
      <c r="I93" s="199"/>
      <c r="J93" s="199"/>
      <c r="K93" s="109"/>
      <c r="L93" s="109"/>
      <c r="M93" s="109"/>
      <c r="N93" s="109"/>
    </row>
    <row r="94" spans="1:15" hidden="1" outlineLevel="1">
      <c r="A94" s="180">
        <f>IF(VLOOKUP("эл",АО,3,FALSE)&gt;0,"Электроснабжение",0)</f>
        <v>0</v>
      </c>
      <c r="B94" s="180"/>
      <c r="C94" s="180"/>
      <c r="D94" s="181">
        <f>IF(VLOOKUP("эл",АО,3,FALSE)&gt;0,VLOOKUP("эл",АО,3,FALSE),0)</f>
        <v>0</v>
      </c>
      <c r="E94" s="181"/>
      <c r="F94" s="13">
        <f>IF(VLOOKUP("эл",АО,3,FALSE)&gt;0,VLOOKUP("эл",АО,4,FALSE),0)</f>
        <v>0</v>
      </c>
      <c r="G94" s="182">
        <f>VLOOKUP("эл",АО,5,FALSE)</f>
        <v>0</v>
      </c>
      <c r="H94" s="181"/>
      <c r="I94" s="181"/>
      <c r="J94" s="181"/>
      <c r="K94" s="1" t="str">
        <f>VLOOKUP("эл",АО,2,FALSE)</f>
        <v>Электроснабжение</v>
      </c>
      <c r="L94" s="185"/>
    </row>
    <row r="95" spans="1:15" hidden="1" outlineLevel="2">
      <c r="A95" s="197">
        <f>IF(VLOOKUP("эл",АО,3,FALSE)&gt;0,VLOOKUP("эл1",АО,2,FALSE),0)</f>
        <v>0</v>
      </c>
      <c r="B95" s="197"/>
      <c r="C95" s="197"/>
      <c r="D95" s="197"/>
      <c r="E95" s="197"/>
      <c r="F95" s="197"/>
      <c r="G95" s="197"/>
      <c r="H95" s="197"/>
      <c r="I95" s="197"/>
      <c r="J95" s="18">
        <f t="shared" ref="J95:J101" si="3">VLOOKUP(O95,АО,3,FALSE)</f>
        <v>0</v>
      </c>
      <c r="L95" s="185"/>
      <c r="O95" s="1" t="s">
        <v>112</v>
      </c>
    </row>
    <row r="96" spans="1:15" hidden="1" outlineLevel="2">
      <c r="A96" s="197">
        <f>IF(VLOOKUP("эл",АО,3,FALSE)&gt;0,VLOOKUP("эл2",АО,2,FALSE),0)</f>
        <v>0</v>
      </c>
      <c r="B96" s="197"/>
      <c r="C96" s="197"/>
      <c r="D96" s="197"/>
      <c r="E96" s="197"/>
      <c r="F96" s="197"/>
      <c r="G96" s="197"/>
      <c r="H96" s="197"/>
      <c r="I96" s="197"/>
      <c r="J96" s="18">
        <f t="shared" si="3"/>
        <v>0</v>
      </c>
      <c r="L96" s="185"/>
      <c r="O96" s="1" t="s">
        <v>113</v>
      </c>
    </row>
    <row r="97" spans="1:15" hidden="1" outlineLevel="2">
      <c r="A97" s="197">
        <f>IF(VLOOKUP("эл",АО,3,FALSE)&gt;0,VLOOKUP("эл3",АО,2,FALSE),0)</f>
        <v>0</v>
      </c>
      <c r="B97" s="197"/>
      <c r="C97" s="197"/>
      <c r="D97" s="197"/>
      <c r="E97" s="197"/>
      <c r="F97" s="197"/>
      <c r="G97" s="197"/>
      <c r="H97" s="197"/>
      <c r="I97" s="197"/>
      <c r="J97" s="18">
        <f t="shared" si="3"/>
        <v>0</v>
      </c>
      <c r="L97" s="185"/>
      <c r="O97" s="1" t="s">
        <v>114</v>
      </c>
    </row>
    <row r="98" spans="1:15" ht="37.5" hidden="1" customHeight="1" outlineLevel="2">
      <c r="A98" s="197">
        <f>IF(VLOOKUP("эл",АО,3,FALSE)&gt;0,VLOOKUP("эл4",АО,2,FALSE),0)</f>
        <v>0</v>
      </c>
      <c r="B98" s="197"/>
      <c r="C98" s="197"/>
      <c r="D98" s="197"/>
      <c r="E98" s="197"/>
      <c r="F98" s="197"/>
      <c r="G98" s="197"/>
      <c r="H98" s="197"/>
      <c r="I98" s="197"/>
      <c r="J98" s="18">
        <f t="shared" si="3"/>
        <v>0</v>
      </c>
      <c r="L98" s="185"/>
      <c r="O98" s="1" t="s">
        <v>115</v>
      </c>
    </row>
    <row r="99" spans="1:15" hidden="1" outlineLevel="2">
      <c r="A99" s="197">
        <f>IF(VLOOKUP("эл",АО,3,FALSE)&gt;0,VLOOKUP("эл5",АО,2,FALSE),0)</f>
        <v>0</v>
      </c>
      <c r="B99" s="197"/>
      <c r="C99" s="197"/>
      <c r="D99" s="197"/>
      <c r="E99" s="197"/>
      <c r="F99" s="197"/>
      <c r="G99" s="197"/>
      <c r="H99" s="197"/>
      <c r="I99" s="197"/>
      <c r="J99" s="18">
        <f t="shared" si="3"/>
        <v>0</v>
      </c>
      <c r="L99" s="185"/>
      <c r="O99" s="1" t="s">
        <v>116</v>
      </c>
    </row>
    <row r="100" spans="1:15" ht="39" hidden="1" customHeight="1" outlineLevel="2">
      <c r="A100" s="197">
        <f>IF(VLOOKUP("эл",АО,3,FALSE)&gt;0,VLOOKUP("эл6",АО,2,FALSE),0)</f>
        <v>0</v>
      </c>
      <c r="B100" s="197"/>
      <c r="C100" s="197"/>
      <c r="D100" s="197"/>
      <c r="E100" s="197"/>
      <c r="F100" s="197"/>
      <c r="G100" s="197"/>
      <c r="H100" s="197"/>
      <c r="I100" s="197"/>
      <c r="J100" s="18">
        <f t="shared" si="3"/>
        <v>0</v>
      </c>
      <c r="L100" s="185"/>
      <c r="O100" s="1" t="s">
        <v>117</v>
      </c>
    </row>
    <row r="101" spans="1:15" ht="34.5" hidden="1" customHeight="1" outlineLevel="2">
      <c r="A101" s="197">
        <f>IF(VLOOKUP("эл",АО,3,FALSE)&gt;0,VLOOKUP("эл7",АО,2,FALSE),0)</f>
        <v>0</v>
      </c>
      <c r="B101" s="197"/>
      <c r="C101" s="197"/>
      <c r="D101" s="197"/>
      <c r="E101" s="197"/>
      <c r="F101" s="197"/>
      <c r="G101" s="197"/>
      <c r="H101" s="197"/>
      <c r="I101" s="197"/>
      <c r="J101" s="18">
        <f t="shared" si="3"/>
        <v>0</v>
      </c>
      <c r="L101" s="185"/>
      <c r="O101" s="1" t="s">
        <v>118</v>
      </c>
    </row>
    <row r="102" spans="1:15" ht="28.5" hidden="1" customHeight="1" outlineLevel="1">
      <c r="A102" s="180">
        <f>IF(VLOOKUP("хвс",АО,3,FALSE)&gt;0,"Холодное водоснабжение",0)</f>
        <v>0</v>
      </c>
      <c r="B102" s="180"/>
      <c r="C102" s="180"/>
      <c r="D102" s="181">
        <f>IF(VLOOKUP("хвс",АО,3,FALSE)&gt;0,VLOOKUP("хвс",АО,3,FALSE),0)</f>
        <v>0</v>
      </c>
      <c r="E102" s="181"/>
      <c r="F102" s="13">
        <f>IF(VLOOKUP("хвс",АО,3,FALSE)&gt;0,VLOOKUP("хвс",АО,4,FALSE),0)</f>
        <v>0</v>
      </c>
      <c r="G102" s="182">
        <f>VLOOKUP("хвс",АО,5,FALSE)</f>
        <v>0</v>
      </c>
      <c r="H102" s="181"/>
      <c r="I102" s="181"/>
      <c r="J102" s="181"/>
      <c r="L102" s="185"/>
    </row>
    <row r="103" spans="1:15" hidden="1" outlineLevel="2">
      <c r="A103" s="197">
        <f t="shared" ref="A103:A109" si="4">IF(VLOOKUP("хвс",АО,3,FALSE)&gt;0,VLOOKUP(O103,АО,2,FALSE),0)</f>
        <v>0</v>
      </c>
      <c r="B103" s="197"/>
      <c r="C103" s="197"/>
      <c r="D103" s="197"/>
      <c r="E103" s="197"/>
      <c r="F103" s="197"/>
      <c r="G103" s="197"/>
      <c r="H103" s="197"/>
      <c r="I103" s="197"/>
      <c r="J103" s="18">
        <f t="shared" ref="J103:J109" si="5">VLOOKUP(O103,АО,3,FALSE)</f>
        <v>0</v>
      </c>
      <c r="L103" s="185"/>
      <c r="O103" s="1" t="s">
        <v>121</v>
      </c>
    </row>
    <row r="104" spans="1:15" ht="18.75" hidden="1" customHeight="1" outlineLevel="2">
      <c r="A104" s="197">
        <f t="shared" si="4"/>
        <v>0</v>
      </c>
      <c r="B104" s="197"/>
      <c r="C104" s="197"/>
      <c r="D104" s="197"/>
      <c r="E104" s="197"/>
      <c r="F104" s="197"/>
      <c r="G104" s="197"/>
      <c r="H104" s="197"/>
      <c r="I104" s="197"/>
      <c r="J104" s="18">
        <f t="shared" si="5"/>
        <v>0</v>
      </c>
      <c r="L104" s="185"/>
      <c r="O104" s="1" t="s">
        <v>122</v>
      </c>
    </row>
    <row r="105" spans="1:15" ht="18.75" hidden="1" customHeight="1" outlineLevel="2">
      <c r="A105" s="197">
        <f t="shared" si="4"/>
        <v>0</v>
      </c>
      <c r="B105" s="197"/>
      <c r="C105" s="197"/>
      <c r="D105" s="197"/>
      <c r="E105" s="197"/>
      <c r="F105" s="197"/>
      <c r="G105" s="197"/>
      <c r="H105" s="197"/>
      <c r="I105" s="197"/>
      <c r="J105" s="18">
        <f t="shared" si="5"/>
        <v>0</v>
      </c>
      <c r="L105" s="185"/>
      <c r="O105" s="1" t="s">
        <v>123</v>
      </c>
    </row>
    <row r="106" spans="1:15" ht="36.75" hidden="1" customHeight="1" outlineLevel="2">
      <c r="A106" s="197">
        <f t="shared" si="4"/>
        <v>0</v>
      </c>
      <c r="B106" s="197"/>
      <c r="C106" s="197"/>
      <c r="D106" s="197"/>
      <c r="E106" s="197"/>
      <c r="F106" s="197"/>
      <c r="G106" s="197"/>
      <c r="H106" s="197"/>
      <c r="I106" s="197"/>
      <c r="J106" s="18">
        <f t="shared" si="5"/>
        <v>0</v>
      </c>
      <c r="L106" s="185"/>
      <c r="O106" s="1" t="s">
        <v>124</v>
      </c>
    </row>
    <row r="107" spans="1:15" ht="18.75" hidden="1" customHeight="1" outlineLevel="2">
      <c r="A107" s="197">
        <f t="shared" si="4"/>
        <v>0</v>
      </c>
      <c r="B107" s="197"/>
      <c r="C107" s="197"/>
      <c r="D107" s="197"/>
      <c r="E107" s="197"/>
      <c r="F107" s="197"/>
      <c r="G107" s="197"/>
      <c r="H107" s="197"/>
      <c r="I107" s="197"/>
      <c r="J107" s="18">
        <f t="shared" si="5"/>
        <v>0</v>
      </c>
      <c r="L107" s="185"/>
      <c r="O107" s="1" t="s">
        <v>125</v>
      </c>
    </row>
    <row r="108" spans="1:15" ht="37.5" hidden="1" customHeight="1" outlineLevel="2">
      <c r="A108" s="197">
        <f t="shared" si="4"/>
        <v>0</v>
      </c>
      <c r="B108" s="197"/>
      <c r="C108" s="197"/>
      <c r="D108" s="197"/>
      <c r="E108" s="197"/>
      <c r="F108" s="197"/>
      <c r="G108" s="197"/>
      <c r="H108" s="197"/>
      <c r="I108" s="197"/>
      <c r="J108" s="18">
        <f t="shared" si="5"/>
        <v>0</v>
      </c>
      <c r="L108" s="185"/>
      <c r="O108" s="1" t="s">
        <v>126</v>
      </c>
    </row>
    <row r="109" spans="1:15" ht="39.75" hidden="1" customHeight="1" outlineLevel="2">
      <c r="A109" s="197">
        <f t="shared" si="4"/>
        <v>0</v>
      </c>
      <c r="B109" s="197"/>
      <c r="C109" s="197"/>
      <c r="D109" s="197"/>
      <c r="E109" s="197"/>
      <c r="F109" s="197"/>
      <c r="G109" s="197"/>
      <c r="H109" s="197"/>
      <c r="I109" s="197"/>
      <c r="J109" s="18">
        <f t="shared" si="5"/>
        <v>0</v>
      </c>
      <c r="L109" s="185"/>
      <c r="O109" s="1" t="s">
        <v>127</v>
      </c>
    </row>
    <row r="110" spans="1:15" ht="27" hidden="1" customHeight="1" outlineLevel="1">
      <c r="A110" s="180">
        <f>IF(VLOOKUP("воо",АО,3,FALSE)&gt;0,"Водоотведение",0)</f>
        <v>0</v>
      </c>
      <c r="B110" s="180"/>
      <c r="C110" s="180"/>
      <c r="D110" s="181">
        <f>IF(VLOOKUP("воо",АО,3,FALSE)&gt;0,VLOOKUP("воо",АО,3,FALSE),0)</f>
        <v>0</v>
      </c>
      <c r="E110" s="181"/>
      <c r="F110" s="13">
        <f>IF(VLOOKUP("воо",АО,3,FALSE)&gt;0,VLOOKUP("воо",АО,4,FALSE),0)</f>
        <v>0</v>
      </c>
      <c r="G110" s="182">
        <f>VLOOKUP("воо",АО,5,FALSE)</f>
        <v>0</v>
      </c>
      <c r="H110" s="181"/>
      <c r="I110" s="181"/>
      <c r="J110" s="181"/>
      <c r="L110" s="185"/>
    </row>
    <row r="111" spans="1:15" hidden="1" outlineLevel="2">
      <c r="A111" s="176">
        <f t="shared" ref="A111:A117" si="6">IF(VLOOKUP("воо",АО,3,FALSE)&gt;0,VLOOKUP(O111,АО,2,FALSE),0)</f>
        <v>0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0</v>
      </c>
      <c r="L111" s="185"/>
      <c r="O111" s="1" t="s">
        <v>129</v>
      </c>
    </row>
    <row r="112" spans="1:15" ht="18.75" hidden="1" customHeight="1" outlineLevel="2">
      <c r="A112" s="176">
        <f t="shared" si="6"/>
        <v>0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0</v>
      </c>
      <c r="L112" s="185"/>
      <c r="O112" s="1" t="s">
        <v>130</v>
      </c>
    </row>
    <row r="113" spans="1:15" ht="19.5" hidden="1" customHeight="1" outlineLevel="2">
      <c r="A113" s="176">
        <f t="shared" si="6"/>
        <v>0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0</v>
      </c>
      <c r="L113" s="185"/>
      <c r="O113" s="1" t="s">
        <v>131</v>
      </c>
    </row>
    <row r="114" spans="1:15" ht="33" hidden="1" customHeight="1" outlineLevel="2">
      <c r="A114" s="176">
        <f t="shared" si="6"/>
        <v>0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0</v>
      </c>
      <c r="L114" s="185"/>
      <c r="O114" s="1" t="s">
        <v>132</v>
      </c>
    </row>
    <row r="115" spans="1:15" ht="18.75" hidden="1" customHeight="1" outlineLevel="2">
      <c r="A115" s="176">
        <f t="shared" si="6"/>
        <v>0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0</v>
      </c>
      <c r="L115" s="185"/>
      <c r="O115" s="1" t="s">
        <v>133</v>
      </c>
    </row>
    <row r="116" spans="1:15" ht="33.75" hidden="1" customHeight="1" outlineLevel="2">
      <c r="A116" s="176">
        <f t="shared" si="6"/>
        <v>0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85"/>
      <c r="O116" s="1" t="s">
        <v>134</v>
      </c>
    </row>
    <row r="117" spans="1:15" ht="32.25" hidden="1" customHeight="1" outlineLevel="2">
      <c r="A117" s="176">
        <f t="shared" si="6"/>
        <v>0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85"/>
      <c r="O117" s="1" t="s">
        <v>135</v>
      </c>
    </row>
    <row r="118" spans="1:15" ht="32.25" hidden="1" customHeight="1" outlineLevel="1">
      <c r="A118" s="180">
        <f>IF(VLOOKUP("тко",АО,3,FALSE)&gt;0,"Обращение с ТКО",0)</f>
        <v>0</v>
      </c>
      <c r="B118" s="180"/>
      <c r="C118" s="180"/>
      <c r="D118" s="181">
        <f>IF(VLOOKUP("тко",АО,3,FALSE)&gt;0,VLOOKUP("тко",АО,3,FALSE),0)</f>
        <v>0</v>
      </c>
      <c r="E118" s="181"/>
      <c r="F118" s="13">
        <f>IF(VLOOKUP("тко",АО,3,FALSE)&gt;0,VLOOKUP("тко",АО,4,FALSE),0)</f>
        <v>0</v>
      </c>
      <c r="G118" s="182">
        <f>VLOOKUP("тко",АО,5,FALSE)</f>
        <v>0</v>
      </c>
      <c r="H118" s="181"/>
      <c r="I118" s="181"/>
      <c r="J118" s="181"/>
      <c r="L118" s="47"/>
    </row>
    <row r="119" spans="1:15" ht="32.25" hidden="1" customHeight="1" outlineLevel="2">
      <c r="A119" s="176">
        <f t="shared" ref="A119:A125" si="8">IF(VLOOKUP("тко",АО,3,FALSE)&gt;0,VLOOKUP(O119,АО,2,FALSE),0)</f>
        <v>0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6">
        <f t="shared" si="8"/>
        <v>0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6">
        <f t="shared" si="8"/>
        <v>0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6">
        <f t="shared" si="8"/>
        <v>0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6">
        <f t="shared" si="8"/>
        <v>0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6">
        <f t="shared" si="8"/>
        <v>0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6">
        <f t="shared" si="8"/>
        <v>0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0">
        <f>IF(VLOOKUP("гвс",АО,3,FALSE)&gt;0,"Горячее водоснабжение",0)</f>
        <v>0</v>
      </c>
      <c r="B126" s="180"/>
      <c r="C126" s="180"/>
      <c r="D126" s="181">
        <f>IF(VLOOKUP("гвс",АО,3,FALSE)&gt;0,VLOOKUP("гвс",АО,3,FALSE),0)</f>
        <v>0</v>
      </c>
      <c r="E126" s="181"/>
      <c r="F126" s="13">
        <f>IF(VLOOKUP("гвс",АО,3,FALSE)&gt;0,VLOOKUP("гвс",АО,4,FALSE),0)</f>
        <v>0</v>
      </c>
      <c r="G126" s="182">
        <f>VLOOKUP("гвс",АО,5,FALSE)</f>
        <v>0</v>
      </c>
      <c r="H126" s="181"/>
      <c r="I126" s="181"/>
      <c r="J126" s="181"/>
      <c r="L126" s="47"/>
    </row>
    <row r="127" spans="1:15" ht="32.25" hidden="1" customHeight="1" outlineLevel="2">
      <c r="A127" s="176">
        <f t="shared" ref="A127:A133" si="10">IF(VLOOKUP("гвс",АО,3,FALSE)&gt;0,VLOOKUP(O127,АО,2,FALSE),0)</f>
        <v>0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6">
        <f t="shared" si="10"/>
        <v>0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6">
        <f t="shared" si="10"/>
        <v>0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6">
        <f t="shared" si="10"/>
        <v>0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6">
        <f t="shared" si="10"/>
        <v>0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6">
        <f t="shared" si="10"/>
        <v>0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6">
        <f t="shared" si="10"/>
        <v>0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0">
        <f>IF(VLOOKUP("отопление",АО,3,FALSE)&gt;0,"Отопление",0)</f>
        <v>0</v>
      </c>
      <c r="B134" s="180"/>
      <c r="C134" s="180"/>
      <c r="D134" s="181">
        <f>IF(VLOOKUP("отопление",АО,3,FALSE)&gt;0,VLOOKUP("отопление",АО,3,FALSE),0)</f>
        <v>0</v>
      </c>
      <c r="E134" s="181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1"/>
      <c r="I134" s="181"/>
      <c r="J134" s="181"/>
      <c r="L134" s="47"/>
    </row>
    <row r="135" spans="1:15" ht="32.25" hidden="1" customHeight="1" outlineLevel="2">
      <c r="A135" s="176">
        <f t="shared" ref="A135:A141" si="12">IF(VLOOKUP("отопление",АО,3,FALSE)&gt;0,VLOOKUP(O135,АО,2,FALSE),0)</f>
        <v>0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6">
        <f t="shared" si="12"/>
        <v>0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6">
        <f t="shared" si="12"/>
        <v>0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6">
        <f t="shared" si="12"/>
        <v>0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6">
        <f t="shared" si="12"/>
        <v>0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6">
        <f t="shared" si="12"/>
        <v>0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6">
        <f t="shared" si="12"/>
        <v>0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6" t="s">
        <v>45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169</v>
      </c>
    </row>
    <row r="145" spans="1:15" ht="18.75" customHeight="1" outlineLevel="1">
      <c r="A145" s="176" t="s">
        <v>46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24</v>
      </c>
      <c r="L145" s="15"/>
      <c r="O145" t="s">
        <v>170</v>
      </c>
    </row>
    <row r="146" spans="1:15" ht="30" customHeight="1" outlineLevel="1">
      <c r="A146" s="176" t="s">
        <v>172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0</v>
      </c>
      <c r="O146" t="s">
        <v>171</v>
      </c>
    </row>
    <row r="149" spans="1:15" ht="52.5" customHeight="1">
      <c r="A149" s="201" t="s">
        <v>177</v>
      </c>
      <c r="B149" s="201"/>
      <c r="C149" s="201"/>
      <c r="D149" s="201"/>
      <c r="E149" s="201"/>
      <c r="F149" s="201"/>
      <c r="G149" s="201"/>
      <c r="H149" s="201"/>
      <c r="I149" s="201"/>
      <c r="J149" s="20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03" t="s">
        <v>192</v>
      </c>
      <c r="B154" s="203"/>
      <c r="C154" s="203"/>
      <c r="D154" s="203"/>
      <c r="E154" s="27">
        <f>ПТО!G1</f>
        <v>145135.89000000001</v>
      </c>
    </row>
    <row r="155" spans="1:15" ht="34.5" customHeight="1">
      <c r="A155" s="202" t="s">
        <v>194</v>
      </c>
      <c r="B155" s="202"/>
      <c r="C155" s="202"/>
      <c r="D155" s="202"/>
      <c r="E155" s="28">
        <f>J13</f>
        <v>262710.59999999998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6" t="s">
        <v>19</v>
      </c>
      <c r="B157" s="186"/>
      <c r="C157" s="186"/>
      <c r="D157" s="186"/>
      <c r="E157" s="186"/>
      <c r="F157" s="186" t="s">
        <v>20</v>
      </c>
      <c r="G157" s="186"/>
      <c r="H157" s="20" t="s">
        <v>57</v>
      </c>
      <c r="I157" s="186" t="s">
        <v>21</v>
      </c>
      <c r="J157" s="186"/>
    </row>
    <row r="158" spans="1:15" ht="29.25" customHeight="1">
      <c r="A158" s="178" t="str">
        <f t="shared" ref="A158:A163" si="14">IF(N158&gt;0,N158,0)</f>
        <v>Замена контактора в станции управления лифта.</v>
      </c>
      <c r="B158" s="178"/>
      <c r="C158" s="178"/>
      <c r="D158" s="178"/>
      <c r="E158" s="178"/>
      <c r="F158" s="183">
        <f t="shared" ref="F158:F163" si="15">IF(ISERROR(VLOOKUP(A158,$A$28:$J$72,6,FALSE)),0,VLOOKUP(A158,$A$28:$J$72,6,FALSE))</f>
        <v>1771</v>
      </c>
      <c r="G158" s="183"/>
      <c r="H158" s="24" t="str">
        <f t="shared" ref="H158:H187" si="16">VLOOKUP(A158,$A$28:$J$72,8,FALSE)</f>
        <v>разово</v>
      </c>
      <c r="I158" s="179">
        <f t="shared" ref="I158:I161" si="17">VLOOKUP(A158,$A$28:$J$72,9,FALSE)</f>
        <v>1</v>
      </c>
      <c r="J158" s="179"/>
      <c r="M158" s="22" t="s">
        <v>72</v>
      </c>
      <c r="N158" s="1" t="str">
        <f t="array" ref="N158:N187">INDEX($O$43:$O$72,SMALL(IF($M$158=R43:R72,ROW(O43:O72)-42,""),ROW()-157))</f>
        <v>Замена контактора в станции управления лифта.</v>
      </c>
    </row>
    <row r="159" spans="1:15" ht="28.5" customHeight="1">
      <c r="A159" s="178" t="str">
        <f t="shared" si="14"/>
        <v>Приобретение и установка доводчика на тамбурную дверь в подъезде.</v>
      </c>
      <c r="B159" s="178"/>
      <c r="C159" s="178"/>
      <c r="D159" s="178"/>
      <c r="E159" s="178"/>
      <c r="F159" s="183">
        <f t="shared" si="15"/>
        <v>2000</v>
      </c>
      <c r="G159" s="183"/>
      <c r="H159" s="24" t="str">
        <f t="shared" si="16"/>
        <v>разово</v>
      </c>
      <c r="I159" s="179">
        <f t="shared" si="17"/>
        <v>1</v>
      </c>
      <c r="J159" s="179"/>
      <c r="M159" s="22" t="s">
        <v>72</v>
      </c>
      <c r="N159" s="1" t="str">
        <v>Приобретение и установка доводчика на тамбурную дверь в подъезде.</v>
      </c>
    </row>
    <row r="160" spans="1:15" ht="28.5" customHeight="1">
      <c r="A160" s="178" t="str">
        <f t="shared" si="14"/>
        <v>Сброс снега с кровли.</v>
      </c>
      <c r="B160" s="178"/>
      <c r="C160" s="178"/>
      <c r="D160" s="178"/>
      <c r="E160" s="178"/>
      <c r="F160" s="183">
        <f t="shared" si="15"/>
        <v>16500</v>
      </c>
      <c r="G160" s="183"/>
      <c r="H160" s="24" t="str">
        <f t="shared" si="16"/>
        <v>разово</v>
      </c>
      <c r="I160" s="179">
        <f t="shared" si="17"/>
        <v>1</v>
      </c>
      <c r="J160" s="179"/>
      <c r="M160" s="22" t="s">
        <v>72</v>
      </c>
      <c r="N160" s="1" t="str">
        <v>Сброс снега с кровли.</v>
      </c>
    </row>
    <row r="161" spans="1:14" ht="28.5" customHeight="1">
      <c r="A161" s="178" t="str">
        <f>IF(N161&gt;0,N161,0)</f>
        <v>Механизированная уборка и вывоз снега с придомовой территории.</v>
      </c>
      <c r="B161" s="178"/>
      <c r="C161" s="178"/>
      <c r="D161" s="178"/>
      <c r="E161" s="178"/>
      <c r="F161" s="183">
        <f t="shared" si="15"/>
        <v>42240</v>
      </c>
      <c r="G161" s="183"/>
      <c r="H161" s="24" t="str">
        <f t="shared" si="16"/>
        <v>разово</v>
      </c>
      <c r="I161" s="179">
        <f t="shared" si="17"/>
        <v>1</v>
      </c>
      <c r="J161" s="179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78" t="str">
        <f t="shared" si="14"/>
        <v>Ремонт блока управления "ECL comfort 210" в ТП.</v>
      </c>
      <c r="B162" s="178"/>
      <c r="C162" s="178"/>
      <c r="D162" s="178"/>
      <c r="E162" s="178"/>
      <c r="F162" s="183">
        <f t="shared" si="15"/>
        <v>2200</v>
      </c>
      <c r="G162" s="183"/>
      <c r="H162" s="24" t="str">
        <f t="shared" si="16"/>
        <v>разово</v>
      </c>
      <c r="I162" s="179">
        <f>VLOOKUP(A162,$A$28:$J$72,9,FALSE)</f>
        <v>1</v>
      </c>
      <c r="J162" s="179"/>
      <c r="M162" s="22" t="s">
        <v>72</v>
      </c>
      <c r="N162" s="1" t="str">
        <v>Ремонт блока управления "ECL comfort 210" в ТП.</v>
      </c>
    </row>
    <row r="163" spans="1:14" ht="28.5" customHeight="1">
      <c r="A163" s="178" t="str">
        <f t="shared" si="14"/>
        <v>Приобретение и замена светильника над подъездом.</v>
      </c>
      <c r="B163" s="178"/>
      <c r="C163" s="178"/>
      <c r="D163" s="178"/>
      <c r="E163" s="178"/>
      <c r="F163" s="183">
        <f t="shared" si="15"/>
        <v>1600</v>
      </c>
      <c r="G163" s="183"/>
      <c r="H163" s="24" t="str">
        <f t="shared" si="16"/>
        <v>разово</v>
      </c>
      <c r="I163" s="179">
        <f>VLOOKUP(A163,$A$28:$J$72,9,FALSE)</f>
        <v>1</v>
      </c>
      <c r="J163" s="179"/>
      <c r="M163" s="22" t="s">
        <v>72</v>
      </c>
      <c r="N163" s="1" t="str">
        <v>Приобретение и замена светильника над подъездом.</v>
      </c>
    </row>
    <row r="164" spans="1:14" ht="28.5" customHeight="1">
      <c r="A164" s="178" t="str">
        <f t="shared" ref="A164:A187" si="18">IF(N164&gt;0,N164,0)</f>
        <v>Благоустройство придомовой территории (разметка парковочных мест).</v>
      </c>
      <c r="B164" s="178"/>
      <c r="C164" s="178"/>
      <c r="D164" s="178"/>
      <c r="E164" s="178"/>
      <c r="F164" s="183">
        <f t="shared" ref="F164:F187" si="19">IF(ISERROR(VLOOKUP(A164,$A$28:$J$72,6,FALSE)),0,VLOOKUP(A164,$A$28:$J$72,6,FALSE))</f>
        <v>2296</v>
      </c>
      <c r="G164" s="183"/>
      <c r="H164" s="29" t="str">
        <f t="shared" si="16"/>
        <v>разово</v>
      </c>
      <c r="I164" s="179">
        <f t="shared" ref="I164:I187" si="20">VLOOKUP(A164,$A$28:$J$72,9,FALSE)</f>
        <v>1</v>
      </c>
      <c r="J164" s="179"/>
      <c r="M164" s="22" t="s">
        <v>72</v>
      </c>
      <c r="N164" s="1" t="str">
        <v>Благоустройство придомовой территории (разметка парковочных мест).</v>
      </c>
    </row>
    <row r="165" spans="1:14" ht="28.5" customHeight="1">
      <c r="A165" s="178" t="str">
        <f t="shared" si="18"/>
        <v>Благоустройство придомовой территории (завоз песка).</v>
      </c>
      <c r="B165" s="178"/>
      <c r="C165" s="178"/>
      <c r="D165" s="178"/>
      <c r="E165" s="178"/>
      <c r="F165" s="183">
        <f t="shared" si="19"/>
        <v>650</v>
      </c>
      <c r="G165" s="183"/>
      <c r="H165" s="29" t="str">
        <f t="shared" si="16"/>
        <v>разово</v>
      </c>
      <c r="I165" s="179">
        <f t="shared" si="20"/>
        <v>1</v>
      </c>
      <c r="J165" s="179"/>
      <c r="M165" s="22" t="s">
        <v>72</v>
      </c>
      <c r="N165" s="1" t="str">
        <v>Благоустройство придомовой территории (завоз песка).</v>
      </c>
    </row>
    <row r="166" spans="1:14" ht="28.5" customHeight="1">
      <c r="A166" s="178" t="str">
        <f t="shared" si="18"/>
        <v>Ремонт подъезда (покраска полов на 9 этаже).</v>
      </c>
      <c r="B166" s="178"/>
      <c r="C166" s="178"/>
      <c r="D166" s="178"/>
      <c r="E166" s="178"/>
      <c r="F166" s="183">
        <f t="shared" si="19"/>
        <v>3420</v>
      </c>
      <c r="G166" s="183"/>
      <c r="H166" s="29" t="str">
        <f t="shared" si="16"/>
        <v>разово</v>
      </c>
      <c r="I166" s="179">
        <f t="shared" si="20"/>
        <v>1</v>
      </c>
      <c r="J166" s="179"/>
      <c r="M166" s="22" t="s">
        <v>72</v>
      </c>
      <c r="N166" s="1" t="str">
        <v>Ремонт подъезда (покраска полов на 9 этаже).</v>
      </c>
    </row>
    <row r="167" spans="1:14" ht="28.5" customHeight="1">
      <c r="A167" s="178" t="str">
        <f t="shared" si="18"/>
        <v>Сварочные работы в тепловом пункте (замена шаровых кранов).</v>
      </c>
      <c r="B167" s="178"/>
      <c r="C167" s="178"/>
      <c r="D167" s="178"/>
      <c r="E167" s="178"/>
      <c r="F167" s="183">
        <f t="shared" si="19"/>
        <v>3000</v>
      </c>
      <c r="G167" s="183"/>
      <c r="H167" s="29" t="str">
        <f t="shared" si="16"/>
        <v>разово</v>
      </c>
      <c r="I167" s="179">
        <f t="shared" si="20"/>
        <v>1</v>
      </c>
      <c r="J167" s="179"/>
      <c r="M167" s="22" t="s">
        <v>72</v>
      </c>
      <c r="N167" s="1" t="str">
        <v>Сварочные работы в тепловом пункте (замена шаровых кранов).</v>
      </c>
    </row>
    <row r="168" spans="1:14" ht="28.5" customHeight="1">
      <c r="A168" s="178" t="str">
        <f t="shared" si="18"/>
        <v>Приобретение и замена шаровых кранов в тепловом пункте (Ду-80 и Ду-65).</v>
      </c>
      <c r="B168" s="178"/>
      <c r="C168" s="178"/>
      <c r="D168" s="178"/>
      <c r="E168" s="178"/>
      <c r="F168" s="183">
        <f t="shared" si="19"/>
        <v>1981</v>
      </c>
      <c r="G168" s="183"/>
      <c r="H168" s="29" t="str">
        <f t="shared" si="16"/>
        <v>разово</v>
      </c>
      <c r="I168" s="179">
        <f t="shared" si="20"/>
        <v>1</v>
      </c>
      <c r="J168" s="179"/>
      <c r="M168" s="22" t="s">
        <v>72</v>
      </c>
      <c r="N168" s="1" t="str">
        <v>Приобретение и замена шаровых кранов в тепловом пункте (Ду-80 и Ду-65).</v>
      </c>
    </row>
    <row r="169" spans="1:14" ht="28.5" customHeight="1">
      <c r="A169" s="178" t="str">
        <f t="shared" si="18"/>
        <v>Приобретение и монтаж аншлага с номером дома.</v>
      </c>
      <c r="B169" s="178"/>
      <c r="C169" s="178"/>
      <c r="D169" s="178"/>
      <c r="E169" s="178"/>
      <c r="F169" s="183">
        <f t="shared" si="19"/>
        <v>408</v>
      </c>
      <c r="G169" s="183"/>
      <c r="H169" s="29" t="str">
        <f t="shared" si="16"/>
        <v>разово</v>
      </c>
      <c r="I169" s="179">
        <f t="shared" si="20"/>
        <v>1</v>
      </c>
      <c r="J169" s="179"/>
      <c r="M169" s="22" t="s">
        <v>72</v>
      </c>
      <c r="N169" s="1" t="str">
        <v>Приобретение и монтаж аншлага с номером дома.</v>
      </c>
    </row>
    <row r="170" spans="1:14" ht="28.5" customHeight="1">
      <c r="A170" s="178" t="str">
        <f t="shared" si="18"/>
        <v>Приобретение и замена манометров в тепловой пункт.</v>
      </c>
      <c r="B170" s="178"/>
      <c r="C170" s="178"/>
      <c r="D170" s="178"/>
      <c r="E170" s="178"/>
      <c r="F170" s="183">
        <f t="shared" si="19"/>
        <v>437</v>
      </c>
      <c r="G170" s="183"/>
      <c r="H170" s="29" t="str">
        <f t="shared" si="16"/>
        <v>разово</v>
      </c>
      <c r="I170" s="179">
        <f t="shared" si="20"/>
        <v>1</v>
      </c>
      <c r="J170" s="179"/>
      <c r="M170" s="22" t="s">
        <v>72</v>
      </c>
      <c r="N170" s="1" t="str">
        <v>Приобретение и замена манометров в тепловой пункт.</v>
      </c>
    </row>
    <row r="171" spans="1:14" ht="28.5" customHeight="1">
      <c r="A171" s="178" t="str">
        <f t="shared" si="18"/>
        <v>Обшивка вентиляционных шахт (кв. 83).</v>
      </c>
      <c r="B171" s="178"/>
      <c r="C171" s="178"/>
      <c r="D171" s="178"/>
      <c r="E171" s="178"/>
      <c r="F171" s="183">
        <f t="shared" si="19"/>
        <v>31642</v>
      </c>
      <c r="G171" s="183"/>
      <c r="H171" s="29" t="str">
        <f t="shared" si="16"/>
        <v>разово</v>
      </c>
      <c r="I171" s="179">
        <f t="shared" si="20"/>
        <v>1</v>
      </c>
      <c r="J171" s="179"/>
      <c r="M171" s="22" t="s">
        <v>72</v>
      </c>
      <c r="N171" s="1" t="str">
        <v>Обшивка вентиляционных шахт (кв. 83).</v>
      </c>
    </row>
    <row r="172" spans="1:14" ht="28.5" customHeight="1">
      <c r="A172" s="178" t="str">
        <f t="shared" si="18"/>
        <v>Сварочные работы в тепловом пункте (восстановление опор расширительного бака).</v>
      </c>
      <c r="B172" s="178"/>
      <c r="C172" s="178"/>
      <c r="D172" s="178"/>
      <c r="E172" s="178"/>
      <c r="F172" s="183">
        <f t="shared" si="19"/>
        <v>1800</v>
      </c>
      <c r="G172" s="183"/>
      <c r="H172" s="29" t="str">
        <f t="shared" si="16"/>
        <v>разово</v>
      </c>
      <c r="I172" s="179">
        <f t="shared" si="20"/>
        <v>1</v>
      </c>
      <c r="J172" s="179"/>
      <c r="M172" s="22" t="s">
        <v>72</v>
      </c>
      <c r="N172" s="1" t="str">
        <v>Сварочные работы в тепловом пункте (восстановление опор расширительного бака).</v>
      </c>
    </row>
    <row r="173" spans="1:14" ht="28.5" customHeight="1">
      <c r="A173" s="178" t="str">
        <f t="shared" si="18"/>
        <v>Обшивка вентиляционных шахт (кухня, с/узел кв. 89).</v>
      </c>
      <c r="B173" s="178"/>
      <c r="C173" s="178"/>
      <c r="D173" s="178"/>
      <c r="E173" s="178"/>
      <c r="F173" s="183">
        <f t="shared" si="19"/>
        <v>67874</v>
      </c>
      <c r="G173" s="183"/>
      <c r="H173" s="29" t="str">
        <f t="shared" si="16"/>
        <v>разово</v>
      </c>
      <c r="I173" s="179">
        <f t="shared" si="20"/>
        <v>1</v>
      </c>
      <c r="J173" s="179"/>
      <c r="M173" s="22" t="s">
        <v>72</v>
      </c>
      <c r="N173" s="1" t="str">
        <v>Обшивка вентиляционных шахт (кухня, с/узел кв. 89).</v>
      </c>
    </row>
    <row r="174" spans="1:14" ht="28.5" customHeight="1">
      <c r="A174" s="178" t="str">
        <f t="shared" si="18"/>
        <v>Замена охранного прибора GSM с выносной антеной и АКБ.</v>
      </c>
      <c r="B174" s="178"/>
      <c r="C174" s="178"/>
      <c r="D174" s="178"/>
      <c r="E174" s="178"/>
      <c r="F174" s="183">
        <f t="shared" si="19"/>
        <v>3312</v>
      </c>
      <c r="G174" s="183"/>
      <c r="H174" s="29" t="str">
        <f t="shared" si="16"/>
        <v>разово</v>
      </c>
      <c r="I174" s="179">
        <f t="shared" si="20"/>
        <v>1</v>
      </c>
      <c r="J174" s="179"/>
      <c r="M174" s="22" t="s">
        <v>72</v>
      </c>
      <c r="N174" s="1" t="str">
        <v>Замена охранного прибора GSM с выносной антеной и АКБ.</v>
      </c>
    </row>
    <row r="175" spans="1:14" ht="28.5" hidden="1" customHeight="1">
      <c r="A175" s="178">
        <f t="shared" si="18"/>
        <v>0</v>
      </c>
      <c r="B175" s="178"/>
      <c r="C175" s="178"/>
      <c r="D175" s="178"/>
      <c r="E175" s="178"/>
      <c r="F175" s="183">
        <f t="shared" si="19"/>
        <v>0</v>
      </c>
      <c r="G175" s="183"/>
      <c r="H175" s="29" t="e">
        <f t="shared" si="16"/>
        <v>#N/A</v>
      </c>
      <c r="I175" s="179" t="e">
        <f t="shared" si="20"/>
        <v>#N/A</v>
      </c>
      <c r="J175" s="179"/>
      <c r="M175" s="22" t="s">
        <v>72</v>
      </c>
      <c r="N175" s="1">
        <v>0</v>
      </c>
    </row>
    <row r="176" spans="1:14" ht="28.5" hidden="1" customHeight="1">
      <c r="A176" s="178">
        <f t="shared" si="18"/>
        <v>0</v>
      </c>
      <c r="B176" s="178"/>
      <c r="C176" s="178"/>
      <c r="D176" s="178"/>
      <c r="E176" s="178"/>
      <c r="F176" s="183">
        <f t="shared" si="19"/>
        <v>0</v>
      </c>
      <c r="G176" s="183"/>
      <c r="H176" s="29" t="e">
        <f t="shared" si="16"/>
        <v>#N/A</v>
      </c>
      <c r="I176" s="179" t="e">
        <f t="shared" si="20"/>
        <v>#N/A</v>
      </c>
      <c r="J176" s="179"/>
      <c r="M176" s="22" t="s">
        <v>72</v>
      </c>
      <c r="N176" s="1">
        <v>0</v>
      </c>
    </row>
    <row r="177" spans="1:14" ht="28.5" hidden="1" customHeight="1">
      <c r="A177" s="178">
        <f t="shared" si="18"/>
        <v>0</v>
      </c>
      <c r="B177" s="178"/>
      <c r="C177" s="178"/>
      <c r="D177" s="178"/>
      <c r="E177" s="178"/>
      <c r="F177" s="183">
        <f t="shared" si="19"/>
        <v>0</v>
      </c>
      <c r="G177" s="183"/>
      <c r="H177" s="29" t="e">
        <f t="shared" si="16"/>
        <v>#N/A</v>
      </c>
      <c r="I177" s="179" t="e">
        <f t="shared" si="20"/>
        <v>#N/A</v>
      </c>
      <c r="J177" s="179"/>
      <c r="M177" s="22" t="s">
        <v>72</v>
      </c>
      <c r="N177" s="1">
        <v>0</v>
      </c>
    </row>
    <row r="178" spans="1:14" ht="28.5" hidden="1" customHeight="1">
      <c r="A178" s="178">
        <f t="shared" si="18"/>
        <v>0</v>
      </c>
      <c r="B178" s="178"/>
      <c r="C178" s="178"/>
      <c r="D178" s="178"/>
      <c r="E178" s="178"/>
      <c r="F178" s="183">
        <f t="shared" si="19"/>
        <v>0</v>
      </c>
      <c r="G178" s="183"/>
      <c r="H178" s="29" t="e">
        <f t="shared" si="16"/>
        <v>#N/A</v>
      </c>
      <c r="I178" s="179" t="e">
        <f t="shared" si="20"/>
        <v>#N/A</v>
      </c>
      <c r="J178" s="179"/>
      <c r="M178" s="22" t="s">
        <v>72</v>
      </c>
      <c r="N178" s="1">
        <v>0</v>
      </c>
    </row>
    <row r="179" spans="1:14" ht="28.5" hidden="1" customHeight="1">
      <c r="A179" s="178">
        <f t="shared" si="18"/>
        <v>0</v>
      </c>
      <c r="B179" s="178"/>
      <c r="C179" s="178"/>
      <c r="D179" s="178"/>
      <c r="E179" s="178"/>
      <c r="F179" s="183">
        <f t="shared" si="19"/>
        <v>0</v>
      </c>
      <c r="G179" s="183"/>
      <c r="H179" s="29" t="e">
        <f t="shared" si="16"/>
        <v>#N/A</v>
      </c>
      <c r="I179" s="179" t="e">
        <f t="shared" si="20"/>
        <v>#N/A</v>
      </c>
      <c r="J179" s="179"/>
      <c r="M179" s="22" t="s">
        <v>72</v>
      </c>
      <c r="N179" s="1">
        <v>0</v>
      </c>
    </row>
    <row r="180" spans="1:14" ht="28.5" hidden="1" customHeight="1">
      <c r="A180" s="178">
        <f t="shared" si="18"/>
        <v>0</v>
      </c>
      <c r="B180" s="178"/>
      <c r="C180" s="178"/>
      <c r="D180" s="178"/>
      <c r="E180" s="178"/>
      <c r="F180" s="183">
        <f t="shared" si="19"/>
        <v>0</v>
      </c>
      <c r="G180" s="183"/>
      <c r="H180" s="29" t="e">
        <f t="shared" si="16"/>
        <v>#N/A</v>
      </c>
      <c r="I180" s="179" t="e">
        <f t="shared" si="20"/>
        <v>#N/A</v>
      </c>
      <c r="J180" s="179"/>
      <c r="M180" s="22" t="s">
        <v>72</v>
      </c>
      <c r="N180" s="1">
        <v>0</v>
      </c>
    </row>
    <row r="181" spans="1:14" ht="28.5" hidden="1" customHeight="1">
      <c r="A181" s="178">
        <f t="shared" si="18"/>
        <v>0</v>
      </c>
      <c r="B181" s="178"/>
      <c r="C181" s="178"/>
      <c r="D181" s="178"/>
      <c r="E181" s="178"/>
      <c r="F181" s="183">
        <f t="shared" si="19"/>
        <v>0</v>
      </c>
      <c r="G181" s="183"/>
      <c r="H181" s="29" t="e">
        <f t="shared" si="16"/>
        <v>#N/A</v>
      </c>
      <c r="I181" s="179" t="e">
        <f t="shared" si="20"/>
        <v>#N/A</v>
      </c>
      <c r="J181" s="179"/>
      <c r="M181" s="22" t="s">
        <v>72</v>
      </c>
      <c r="N181" s="1">
        <v>0</v>
      </c>
    </row>
    <row r="182" spans="1:14" ht="28.5" hidden="1" customHeight="1">
      <c r="A182" s="178">
        <f t="shared" si="18"/>
        <v>0</v>
      </c>
      <c r="B182" s="178"/>
      <c r="C182" s="178"/>
      <c r="D182" s="178"/>
      <c r="E182" s="178"/>
      <c r="F182" s="183">
        <f t="shared" si="19"/>
        <v>0</v>
      </c>
      <c r="G182" s="183"/>
      <c r="H182" s="29" t="e">
        <f t="shared" si="16"/>
        <v>#N/A</v>
      </c>
      <c r="I182" s="179" t="e">
        <f t="shared" si="20"/>
        <v>#N/A</v>
      </c>
      <c r="J182" s="179"/>
      <c r="M182" s="22" t="s">
        <v>72</v>
      </c>
      <c r="N182" s="1">
        <v>0</v>
      </c>
    </row>
    <row r="183" spans="1:14" ht="28.5" hidden="1" customHeight="1">
      <c r="A183" s="178">
        <f t="shared" si="18"/>
        <v>0</v>
      </c>
      <c r="B183" s="178"/>
      <c r="C183" s="178"/>
      <c r="D183" s="178"/>
      <c r="E183" s="178"/>
      <c r="F183" s="183">
        <f t="shared" si="19"/>
        <v>0</v>
      </c>
      <c r="G183" s="183"/>
      <c r="H183" s="29" t="e">
        <f t="shared" si="16"/>
        <v>#N/A</v>
      </c>
      <c r="I183" s="179" t="e">
        <f t="shared" si="20"/>
        <v>#N/A</v>
      </c>
      <c r="J183" s="179"/>
      <c r="M183" s="22" t="s">
        <v>72</v>
      </c>
      <c r="N183" s="1">
        <v>0</v>
      </c>
    </row>
    <row r="184" spans="1:14" ht="28.5" hidden="1" customHeight="1">
      <c r="A184" s="178">
        <f t="shared" si="18"/>
        <v>0</v>
      </c>
      <c r="B184" s="178"/>
      <c r="C184" s="178"/>
      <c r="D184" s="178"/>
      <c r="E184" s="178"/>
      <c r="F184" s="183">
        <f t="shared" si="19"/>
        <v>0</v>
      </c>
      <c r="G184" s="183"/>
      <c r="H184" s="29" t="e">
        <f t="shared" si="16"/>
        <v>#N/A</v>
      </c>
      <c r="I184" s="179" t="e">
        <f t="shared" si="20"/>
        <v>#N/A</v>
      </c>
      <c r="J184" s="179"/>
      <c r="M184" s="22" t="s">
        <v>72</v>
      </c>
      <c r="N184" s="1">
        <v>0</v>
      </c>
    </row>
    <row r="185" spans="1:14" ht="28.5" hidden="1" customHeight="1">
      <c r="A185" s="178">
        <f t="shared" si="18"/>
        <v>0</v>
      </c>
      <c r="B185" s="178"/>
      <c r="C185" s="178"/>
      <c r="D185" s="178"/>
      <c r="E185" s="178"/>
      <c r="F185" s="183">
        <f t="shared" si="19"/>
        <v>0</v>
      </c>
      <c r="G185" s="183"/>
      <c r="H185" s="29" t="e">
        <f t="shared" si="16"/>
        <v>#N/A</v>
      </c>
      <c r="I185" s="179" t="e">
        <f t="shared" si="20"/>
        <v>#N/A</v>
      </c>
      <c r="J185" s="179"/>
      <c r="M185" s="22" t="s">
        <v>72</v>
      </c>
      <c r="N185" s="1">
        <v>0</v>
      </c>
    </row>
    <row r="186" spans="1:14" ht="28.5" hidden="1" customHeight="1">
      <c r="A186" s="178">
        <f>IF(N186&gt;0,N186,0)</f>
        <v>0</v>
      </c>
      <c r="B186" s="178"/>
      <c r="C186" s="178"/>
      <c r="D186" s="178"/>
      <c r="E186" s="178"/>
      <c r="F186" s="183">
        <f t="shared" si="19"/>
        <v>0</v>
      </c>
      <c r="G186" s="183"/>
      <c r="H186" s="29" t="e">
        <f t="shared" si="16"/>
        <v>#N/A</v>
      </c>
      <c r="I186" s="179" t="e">
        <f t="shared" si="20"/>
        <v>#N/A</v>
      </c>
      <c r="J186" s="179"/>
      <c r="M186" s="22" t="s">
        <v>72</v>
      </c>
      <c r="N186" s="1">
        <v>0</v>
      </c>
    </row>
    <row r="187" spans="1:14" ht="28.5" hidden="1" customHeight="1">
      <c r="A187" s="178">
        <f t="shared" si="18"/>
        <v>0</v>
      </c>
      <c r="B187" s="178"/>
      <c r="C187" s="178"/>
      <c r="D187" s="178"/>
      <c r="E187" s="178"/>
      <c r="F187" s="183">
        <f t="shared" si="19"/>
        <v>0</v>
      </c>
      <c r="G187" s="183"/>
      <c r="H187" s="29" t="e">
        <f t="shared" si="16"/>
        <v>#N/A</v>
      </c>
      <c r="I187" s="179" t="e">
        <f t="shared" si="20"/>
        <v>#N/A</v>
      </c>
      <c r="J187" s="179"/>
      <c r="M187" s="22" t="s">
        <v>72</v>
      </c>
      <c r="N187" s="1">
        <v>0</v>
      </c>
    </row>
    <row r="188" spans="1:14" ht="9.75" customHeight="1">
      <c r="A188" s="104" t="s">
        <v>173</v>
      </c>
    </row>
    <row r="189" spans="1:14" ht="11.25" customHeight="1">
      <c r="A189" s="104" t="s">
        <v>173</v>
      </c>
    </row>
    <row r="190" spans="1:14" ht="36.75" customHeight="1">
      <c r="A190" s="203" t="s">
        <v>195</v>
      </c>
      <c r="B190" s="203"/>
      <c r="C190" s="203"/>
      <c r="D190" s="203"/>
      <c r="E190" s="27">
        <f>SUM(F158:G187)</f>
        <v>183131</v>
      </c>
    </row>
    <row r="191" spans="1:14" ht="51.75" customHeight="1">
      <c r="A191" s="203" t="s">
        <v>196</v>
      </c>
      <c r="B191" s="203"/>
      <c r="C191" s="203"/>
      <c r="D191" s="203"/>
      <c r="E191" s="27">
        <f>E190+E154-E155</f>
        <v>65556.290000000037</v>
      </c>
    </row>
    <row r="192" spans="1:14" ht="13.5" customHeight="1">
      <c r="A192" s="104" t="s">
        <v>173</v>
      </c>
    </row>
    <row r="193" spans="1:10" ht="62.25" customHeight="1">
      <c r="A193" s="177" t="s">
        <v>193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 ремонт подъезда </v>
      </c>
      <c r="B195" s="175"/>
      <c r="C195" s="175"/>
      <c r="D195" s="175"/>
      <c r="E195" s="175"/>
      <c r="F195" s="175"/>
      <c r="G195" s="175"/>
      <c r="H195" s="49">
        <f>ПТО!G13</f>
        <v>400000</v>
      </c>
      <c r="I195" s="50" t="s">
        <v>74</v>
      </c>
    </row>
    <row r="196" spans="1:10" ht="18.75" customHeight="1">
      <c r="A196" s="175" t="str">
        <f>ПТО!F14</f>
        <v xml:space="preserve">  -  замена теплообменника отопления</v>
      </c>
      <c r="B196" s="175"/>
      <c r="C196" s="175"/>
      <c r="D196" s="175"/>
      <c r="E196" s="175"/>
      <c r="F196" s="175"/>
      <c r="G196" s="175"/>
      <c r="H196" s="49">
        <f>ПТО!G14</f>
        <v>100000</v>
      </c>
      <c r="I196" s="50" t="s">
        <v>74</v>
      </c>
    </row>
    <row r="197" spans="1:10" ht="18.75" customHeight="1">
      <c r="A197" s="175" t="str">
        <f>ПТО!F15</f>
        <v xml:space="preserve">  -  механизированная уборка и вывоз снега с придомовой территории</v>
      </c>
      <c r="B197" s="175"/>
      <c r="C197" s="175"/>
      <c r="D197" s="175"/>
      <c r="E197" s="175"/>
      <c r="F197" s="175"/>
      <c r="G197" s="175"/>
      <c r="H197" s="49">
        <f>ПТО!G15</f>
        <v>30000</v>
      </c>
      <c r="I197" s="50" t="s">
        <v>74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49">
        <f>ПТО!G16</f>
        <v>0</v>
      </c>
      <c r="I198" s="52" t="s">
        <v>74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49">
        <f>ПТО!G17</f>
        <v>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531200</v>
      </c>
      <c r="I214" s="56" t="s">
        <v>76</v>
      </c>
    </row>
  </sheetData>
  <sheetProtection algorithmName="SHA-512" hashValue="ebwAitQ5nTIXcj778Gng43jt2ZdpM2OnKcnukXoCssXyHGljzH0T6K6XVSP1ojBvJ67alBjhn/84AbJ9Jl+rIw==" saltValue="PJFLin+MRlrIvjxcoSPd1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F40" sqref="F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145135.89</f>
        <v>145135.89000000001</v>
      </c>
    </row>
    <row r="2" spans="1:12" ht="18.75" customHeight="1">
      <c r="A2" s="133" t="s">
        <v>197</v>
      </c>
      <c r="B2" s="125" t="s">
        <v>178</v>
      </c>
      <c r="C2" s="120">
        <v>1</v>
      </c>
      <c r="D2" s="43">
        <v>1771</v>
      </c>
      <c r="E2" s="44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199</v>
      </c>
      <c r="B3" s="125" t="s">
        <v>178</v>
      </c>
      <c r="C3" s="120">
        <v>1</v>
      </c>
      <c r="D3" s="43">
        <v>2000</v>
      </c>
      <c r="E3" s="44" t="s">
        <v>200</v>
      </c>
      <c r="F3" s="30"/>
      <c r="G3" s="30"/>
      <c r="L3" s="33" t="str">
        <f t="shared" si="0"/>
        <v>ТР</v>
      </c>
    </row>
    <row r="4" spans="1:12" ht="18.75" customHeight="1">
      <c r="A4" s="134" t="s">
        <v>201</v>
      </c>
      <c r="B4" s="135" t="s">
        <v>178</v>
      </c>
      <c r="C4" s="136">
        <v>1</v>
      </c>
      <c r="D4" s="137">
        <v>16500</v>
      </c>
      <c r="E4" s="121" t="s">
        <v>203</v>
      </c>
      <c r="F4" s="30"/>
      <c r="G4" s="30"/>
      <c r="L4" s="33" t="str">
        <f t="shared" si="0"/>
        <v>ТР</v>
      </c>
    </row>
    <row r="5" spans="1:12" ht="18.75" customHeight="1">
      <c r="A5" s="134" t="s">
        <v>191</v>
      </c>
      <c r="B5" s="135" t="s">
        <v>178</v>
      </c>
      <c r="C5" s="136">
        <v>1</v>
      </c>
      <c r="D5" s="137">
        <v>42240</v>
      </c>
      <c r="E5" s="121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40" t="s">
        <v>205</v>
      </c>
      <c r="B6" s="141" t="s">
        <v>178</v>
      </c>
      <c r="C6" s="142">
        <v>1</v>
      </c>
      <c r="D6" s="143">
        <v>2200</v>
      </c>
      <c r="E6" s="140" t="s">
        <v>206</v>
      </c>
      <c r="F6" s="45"/>
      <c r="G6" s="44"/>
      <c r="K6" s="46"/>
      <c r="L6" s="33" t="str">
        <f t="shared" si="0"/>
        <v>ТР</v>
      </c>
    </row>
    <row r="7" spans="1:12" ht="18.75" customHeight="1">
      <c r="A7" s="139" t="s">
        <v>207</v>
      </c>
      <c r="B7" s="138" t="s">
        <v>178</v>
      </c>
      <c r="C7" s="126">
        <v>1</v>
      </c>
      <c r="D7" s="127">
        <v>1600</v>
      </c>
      <c r="E7" s="140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44" t="s">
        <v>204</v>
      </c>
      <c r="B8" s="145" t="s">
        <v>178</v>
      </c>
      <c r="C8" s="146">
        <v>1</v>
      </c>
      <c r="D8" s="147">
        <v>2296</v>
      </c>
      <c r="E8" s="144" t="s">
        <v>210</v>
      </c>
      <c r="F8" s="45"/>
      <c r="G8" s="45"/>
      <c r="K8" s="43"/>
      <c r="L8" s="33" t="str">
        <f t="shared" si="0"/>
        <v>ТР</v>
      </c>
    </row>
    <row r="9" spans="1:12">
      <c r="A9" s="148" t="s">
        <v>211</v>
      </c>
      <c r="B9" s="149" t="s">
        <v>178</v>
      </c>
      <c r="C9" s="150">
        <v>1</v>
      </c>
      <c r="D9" s="151">
        <v>650</v>
      </c>
      <c r="E9" s="152" t="s">
        <v>212</v>
      </c>
      <c r="F9" s="44"/>
      <c r="G9" s="44"/>
      <c r="K9" s="43"/>
      <c r="L9" s="33" t="str">
        <f t="shared" si="0"/>
        <v>ТР</v>
      </c>
    </row>
    <row r="10" spans="1:12">
      <c r="A10" s="139" t="s">
        <v>209</v>
      </c>
      <c r="B10" s="138" t="s">
        <v>178</v>
      </c>
      <c r="C10" s="126">
        <v>1</v>
      </c>
      <c r="D10" s="127">
        <v>3420</v>
      </c>
      <c r="E10" s="121" t="s">
        <v>213</v>
      </c>
      <c r="L10" s="33" t="str">
        <f t="shared" si="0"/>
        <v>ТР</v>
      </c>
    </row>
    <row r="11" spans="1:12" ht="94.5">
      <c r="A11" s="156" t="s">
        <v>215</v>
      </c>
      <c r="B11" s="154" t="s">
        <v>178</v>
      </c>
      <c r="C11" s="120">
        <v>1</v>
      </c>
      <c r="D11" s="43">
        <v>3000</v>
      </c>
      <c r="E11" s="155" t="s">
        <v>216</v>
      </c>
      <c r="F11" s="111" t="s">
        <v>193</v>
      </c>
      <c r="G11" s="111"/>
      <c r="L11" s="33" t="str">
        <f t="shared" si="0"/>
        <v>ТР</v>
      </c>
    </row>
    <row r="12" spans="1:12" ht="31.5">
      <c r="A12" s="172" t="s">
        <v>230</v>
      </c>
      <c r="B12" s="157" t="s">
        <v>178</v>
      </c>
      <c r="C12" s="120">
        <v>1</v>
      </c>
      <c r="D12" s="43">
        <v>1981</v>
      </c>
      <c r="E12" s="144" t="s">
        <v>217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53" t="s">
        <v>214</v>
      </c>
      <c r="B13" s="154" t="s">
        <v>178</v>
      </c>
      <c r="C13" s="120">
        <v>1</v>
      </c>
      <c r="D13" s="43">
        <v>408</v>
      </c>
      <c r="E13" s="155" t="s">
        <v>218</v>
      </c>
      <c r="F13" s="112" t="s">
        <v>188</v>
      </c>
      <c r="G13" s="128">
        <v>400000</v>
      </c>
      <c r="L13" s="33" t="str">
        <f t="shared" si="0"/>
        <v>ТР</v>
      </c>
    </row>
    <row r="14" spans="1:12" ht="15.75">
      <c r="A14" s="158" t="s">
        <v>219</v>
      </c>
      <c r="B14" s="159" t="s">
        <v>178</v>
      </c>
      <c r="C14" s="120">
        <v>1</v>
      </c>
      <c r="D14" s="43">
        <v>437</v>
      </c>
      <c r="E14" s="144" t="s">
        <v>220</v>
      </c>
      <c r="F14" s="129" t="s">
        <v>189</v>
      </c>
      <c r="G14" s="130">
        <v>100000</v>
      </c>
      <c r="L14" s="33" t="str">
        <f t="shared" si="0"/>
        <v>ТР</v>
      </c>
    </row>
    <row r="15" spans="1:12" ht="15.75">
      <c r="A15" s="173" t="s">
        <v>231</v>
      </c>
      <c r="B15" s="160" t="s">
        <v>178</v>
      </c>
      <c r="C15" s="161">
        <v>1</v>
      </c>
      <c r="D15" s="162">
        <v>31642</v>
      </c>
      <c r="E15" s="155" t="s">
        <v>221</v>
      </c>
      <c r="F15" s="117" t="s">
        <v>190</v>
      </c>
      <c r="G15" s="118">
        <v>30000</v>
      </c>
      <c r="L15" s="33" t="str">
        <f t="shared" si="0"/>
        <v>ТР</v>
      </c>
    </row>
    <row r="16" spans="1:12" ht="15.75">
      <c r="A16" s="163" t="s">
        <v>222</v>
      </c>
      <c r="B16" s="164" t="s">
        <v>178</v>
      </c>
      <c r="C16" s="120">
        <v>1</v>
      </c>
      <c r="D16" s="43">
        <v>1800</v>
      </c>
      <c r="E16" s="165" t="s">
        <v>223</v>
      </c>
      <c r="F16" s="131"/>
      <c r="G16" s="132"/>
      <c r="L16" s="33" t="str">
        <f t="shared" si="0"/>
        <v>ТР</v>
      </c>
    </row>
    <row r="17" spans="1:12" ht="15.75">
      <c r="A17" s="169" t="s">
        <v>227</v>
      </c>
      <c r="B17" s="166" t="s">
        <v>178</v>
      </c>
      <c r="C17" s="120">
        <v>1</v>
      </c>
      <c r="D17" s="167">
        <v>67874</v>
      </c>
      <c r="E17" s="165" t="s">
        <v>225</v>
      </c>
      <c r="F17" s="117"/>
      <c r="G17" s="118"/>
      <c r="L17" s="33" t="str">
        <f t="shared" si="0"/>
        <v>ТР</v>
      </c>
    </row>
    <row r="18" spans="1:12">
      <c r="A18" s="174" t="s">
        <v>224</v>
      </c>
      <c r="B18" s="168" t="s">
        <v>178</v>
      </c>
      <c r="C18" s="120">
        <v>1</v>
      </c>
      <c r="D18" s="43">
        <v>3312</v>
      </c>
      <c r="E18" s="165" t="s">
        <v>226</v>
      </c>
      <c r="F18"/>
      <c r="G18"/>
      <c r="L18" s="33" t="str">
        <f t="shared" si="0"/>
        <v>ТР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264614.30000000005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264614.30000000005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76528.740000000005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76528.740000000005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64878.095999999998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64878.095999999998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58633.96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58633.96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112394.448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112394.448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 ht="25.5">
      <c r="A47" s="37" t="s">
        <v>179</v>
      </c>
      <c r="B47" s="119">
        <v>3845.4740000000002</v>
      </c>
      <c r="C47" s="38" t="s">
        <v>70</v>
      </c>
      <c r="D47" s="48">
        <v>12</v>
      </c>
      <c r="L47" s="40" t="str">
        <f t="shared" si="2"/>
        <v>СОД</v>
      </c>
      <c r="M47" t="str">
        <f t="shared" si="3"/>
        <v>Охрана теплового пункта</v>
      </c>
      <c r="N47" s="41">
        <f t="shared" si="4"/>
        <v>3845.4740000000002</v>
      </c>
      <c r="O47" s="41" t="str">
        <f t="shared" si="5"/>
        <v>Круглосуточно</v>
      </c>
      <c r="P47">
        <f t="shared" si="6"/>
        <v>12</v>
      </c>
    </row>
    <row r="48" spans="1:16">
      <c r="A48" s="37"/>
      <c r="B48" s="119"/>
      <c r="C48" s="122"/>
      <c r="D48" s="48"/>
      <c r="E48" s="119">
        <v>1016.6</v>
      </c>
      <c r="F48" s="119">
        <v>489.8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:16" ht="15.75">
      <c r="A49" s="37"/>
      <c r="B49" s="123"/>
      <c r="C49" s="122"/>
      <c r="D49" s="48"/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:16">
      <c r="E53" s="124" t="s">
        <v>181</v>
      </c>
      <c r="F53" s="124" t="s">
        <v>182</v>
      </c>
      <c r="G53" s="124" t="s">
        <v>183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1:16">
      <c r="E54" s="124">
        <v>35.896999999999998</v>
      </c>
      <c r="F54" s="119">
        <v>3807.4</v>
      </c>
      <c r="G54" s="124">
        <v>3.48</v>
      </c>
      <c r="H54" s="124">
        <f>G54*E48/F54</f>
        <v>0.92918211903135994</v>
      </c>
    </row>
    <row r="55" spans="1:16">
      <c r="E55" s="124"/>
      <c r="F55" s="124" t="s">
        <v>184</v>
      </c>
      <c r="G55" s="124" t="s">
        <v>185</v>
      </c>
      <c r="H55" s="124">
        <f>H54*G57</f>
        <v>40.976931449282972</v>
      </c>
    </row>
    <row r="56" spans="1:16">
      <c r="E56" s="124"/>
      <c r="F56" s="124">
        <v>1.17</v>
      </c>
      <c r="G56" s="124">
        <v>1.23</v>
      </c>
      <c r="H56" s="124"/>
    </row>
    <row r="57" spans="1:16">
      <c r="E57" s="124"/>
      <c r="F57" s="124"/>
      <c r="G57" s="124">
        <v>44.1</v>
      </c>
      <c r="H57" s="124"/>
    </row>
    <row r="58" spans="1:16">
      <c r="E58" s="124"/>
      <c r="F58" s="124"/>
      <c r="G58" s="124"/>
      <c r="H58" s="124"/>
    </row>
    <row r="59" spans="1:16">
      <c r="E59" s="124" t="s">
        <v>186</v>
      </c>
      <c r="F59" s="124"/>
      <c r="G59" s="124"/>
      <c r="H59" s="124"/>
    </row>
    <row r="60" spans="1:16">
      <c r="E60" s="124">
        <v>0.59599999999999997</v>
      </c>
      <c r="F60" s="119">
        <f>F54</f>
        <v>3807.4</v>
      </c>
      <c r="G60" s="124">
        <v>7.4999999999999997E-2</v>
      </c>
      <c r="H60" s="124">
        <f>G60*F48</f>
        <v>36.734999999999999</v>
      </c>
    </row>
    <row r="61" spans="1:16">
      <c r="E61" s="124"/>
      <c r="F61" s="124" t="s">
        <v>184</v>
      </c>
      <c r="G61" s="124" t="s">
        <v>185</v>
      </c>
      <c r="H61" s="124">
        <f>H60/F60</f>
        <v>9.6483164364133001E-3</v>
      </c>
    </row>
    <row r="62" spans="1:16">
      <c r="E62" s="124"/>
      <c r="F62" s="124">
        <v>12.94</v>
      </c>
      <c r="G62" s="124">
        <v>13.45</v>
      </c>
      <c r="H62" s="124">
        <f>H61*G57</f>
        <v>0.42549075484582655</v>
      </c>
    </row>
    <row r="63" spans="1:16">
      <c r="E63" s="124" t="s">
        <v>187</v>
      </c>
      <c r="F63" s="124"/>
      <c r="G63" s="124"/>
      <c r="H63" s="124"/>
    </row>
    <row r="64" spans="1:16">
      <c r="E64" s="124">
        <v>0.59599999999999997</v>
      </c>
      <c r="F64" s="119">
        <f>F54</f>
        <v>3807.4</v>
      </c>
      <c r="G64" s="124">
        <v>7.4999999999999997E-2</v>
      </c>
      <c r="H64" s="124">
        <f>G64*F48</f>
        <v>36.734999999999999</v>
      </c>
    </row>
    <row r="65" spans="4:13" ht="18.75" customHeight="1">
      <c r="E65" s="124"/>
      <c r="F65" s="124" t="s">
        <v>184</v>
      </c>
      <c r="G65" s="124" t="s">
        <v>185</v>
      </c>
      <c r="H65" s="124">
        <f>H64/F64</f>
        <v>9.6483164364133001E-3</v>
      </c>
      <c r="I65" s="99"/>
      <c r="J65" s="99"/>
      <c r="K65" s="99"/>
      <c r="L65" s="99"/>
      <c r="M65" s="99"/>
    </row>
    <row r="66" spans="4:13" ht="18.75" customHeight="1">
      <c r="E66" s="124"/>
      <c r="F66" s="124">
        <v>15.73</v>
      </c>
      <c r="G66" s="124">
        <v>16.350000000000001</v>
      </c>
      <c r="H66" s="124">
        <f>H65*G57</f>
        <v>0.42549075484582655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ZQE6oWAizZXj3dLmQubmFmYDie62yPyxr1Cl7Z0ESERUgYjdMaOF98BwKq7vaN4AqizrCKT2DSvKyY+jhV3sxg==" saltValue="ebI0YMLPrBuJ0/SRvjg4t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3807.4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 t="s">
        <v>180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70" t="s">
        <v>228</v>
      </c>
      <c r="F3" s="171" t="s">
        <v>229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389001.65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1041476.28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596665.68000000005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(F1*5*9)+(F1*8*3)</f>
        <v>262710.59999999998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182100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1066049.6399999999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1066049.6399999999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1066049.6399999999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364428.29000000027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5"/>
      <c r="N26" s="63"/>
    </row>
    <row r="27" spans="1:15" ht="18.75" customHeight="1">
      <c r="A27" s="70" t="s">
        <v>104</v>
      </c>
      <c r="B27" s="75" t="s">
        <v>4</v>
      </c>
      <c r="C27" s="86">
        <v>150524.22</v>
      </c>
      <c r="D27" s="81" t="s">
        <v>60</v>
      </c>
      <c r="E27" s="64"/>
      <c r="F27" s="64"/>
      <c r="G27" s="64"/>
      <c r="H27" s="64"/>
      <c r="I27" s="64"/>
      <c r="J27" s="64"/>
      <c r="M27" s="20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5"/>
      <c r="N29" s="63"/>
    </row>
    <row r="30" spans="1:15" ht="18.75" customHeight="1">
      <c r="A30" s="70" t="s">
        <v>107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0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04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04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0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4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166</v>
      </c>
      <c r="G45" s="66"/>
      <c r="H45" s="66"/>
      <c r="L45" s="63"/>
      <c r="M45" s="204"/>
      <c r="N45" s="63"/>
      <c r="O45" s="63"/>
    </row>
    <row r="46" spans="1:15" ht="18.75" customHeight="1">
      <c r="A46" s="73" t="s">
        <v>121</v>
      </c>
      <c r="B46" s="78" t="s">
        <v>37</v>
      </c>
      <c r="C46" s="90"/>
      <c r="D46" s="94" t="s">
        <v>167</v>
      </c>
      <c r="E46" s="68"/>
      <c r="G46" s="67"/>
      <c r="H46" s="67"/>
      <c r="L46" s="63"/>
      <c r="M46" s="204"/>
      <c r="N46" s="63"/>
      <c r="O46" s="63"/>
    </row>
    <row r="47" spans="1:15" ht="18.75" customHeight="1">
      <c r="A47" s="73" t="s">
        <v>122</v>
      </c>
      <c r="B47" s="78" t="s">
        <v>38</v>
      </c>
      <c r="C47" s="91"/>
      <c r="D47" s="94" t="s">
        <v>165</v>
      </c>
      <c r="E47" s="68"/>
      <c r="G47" s="67"/>
      <c r="H47" s="67"/>
      <c r="L47" s="63"/>
      <c r="M47" s="20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0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0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4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166</v>
      </c>
      <c r="G53" s="66"/>
      <c r="H53" s="66"/>
      <c r="L53" s="63"/>
      <c r="M53" s="204"/>
      <c r="N53" s="63"/>
      <c r="O53" s="63"/>
    </row>
    <row r="54" spans="1:15" ht="18.75" customHeight="1">
      <c r="A54" s="73" t="s">
        <v>129</v>
      </c>
      <c r="B54" s="75" t="s">
        <v>37</v>
      </c>
      <c r="C54" s="98"/>
      <c r="D54" s="94" t="s">
        <v>167</v>
      </c>
      <c r="E54" s="69"/>
      <c r="F54" s="89"/>
      <c r="G54" s="64"/>
      <c r="H54" s="64"/>
      <c r="L54" s="63"/>
      <c r="M54" s="204"/>
      <c r="N54" s="63"/>
      <c r="O54" s="63"/>
    </row>
    <row r="55" spans="1:15" ht="18.75" customHeight="1">
      <c r="A55" s="73" t="s">
        <v>130</v>
      </c>
      <c r="B55" s="75" t="s">
        <v>38</v>
      </c>
      <c r="C55" s="86"/>
      <c r="D55" s="94" t="s">
        <v>165</v>
      </c>
      <c r="E55" s="69"/>
      <c r="G55" s="64"/>
      <c r="H55" s="64"/>
      <c r="L55" s="63"/>
      <c r="M55" s="20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0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0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864c3RN38JyA92F7UVUIU+Nd5RrM4Zy0iPI7EGk42WoaoS0Tn0PU4YhPPvKebFrJ5JfdkdvAolMCPVxiCGcU1Q==" saltValue="5n8PWhYGzAXtLCEWR7GCM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2024-03-28T03:20:33Z</dcterms:modified>
</cp:coreProperties>
</file>