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30" i="3" l="1"/>
  <c r="C6" i="3"/>
  <c r="G1" i="2" l="1"/>
  <c r="G14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J109" i="1"/>
  <c r="J104" i="1"/>
  <c r="J103" i="1"/>
  <c r="A109" i="1"/>
  <c r="A105" i="1"/>
  <c r="G102" i="1"/>
  <c r="J101" i="1"/>
  <c r="J96" i="1"/>
  <c r="J95" i="1"/>
  <c r="A101" i="1"/>
  <c r="A97" i="1"/>
  <c r="G94" i="1"/>
  <c r="F94" i="1"/>
  <c r="K94" i="1"/>
  <c r="A119" i="1" l="1"/>
  <c r="F102" i="1"/>
  <c r="A122" i="1"/>
  <c r="A118" i="1"/>
  <c r="A123" i="1"/>
  <c r="A141" i="1"/>
  <c r="F134" i="1"/>
  <c r="A137" i="1"/>
  <c r="D118" i="1"/>
  <c r="A120" i="1"/>
  <c r="A124" i="1"/>
  <c r="F118" i="1"/>
  <c r="A121" i="1"/>
  <c r="A110" i="1"/>
  <c r="A111" i="1"/>
  <c r="A115" i="1"/>
  <c r="D110" i="1"/>
  <c r="A112" i="1"/>
  <c r="A116" i="1"/>
  <c r="F110" i="1"/>
  <c r="A113" i="1"/>
  <c r="A94" i="1"/>
  <c r="A95" i="1"/>
  <c r="A99" i="1"/>
  <c r="A98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<sst xmlns="http://schemas.openxmlformats.org/spreadsheetml/2006/main" count="546" uniqueCount="199">
  <si>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</si>
  <si>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</si>
  <si>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</si>
  <si>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</si>
  <si>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</si>
  <si>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</si>
  <si>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</si>
  <si>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</si>
  <si>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</si>
  <si>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</si>
  <si>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</si>
  <si>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</si>
  <si>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</si>
  <si>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</si>
  <si>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</si>
  <si>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</si>
  <si>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</si>
  <si>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</si>
  <si>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</si>
  <si>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</si>
  <si>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</si>
  <si>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</si>
  <si>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</si>
  <si>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</si>
  <si>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</si>
  <si>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</si>
  <si>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</si>
  <si>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</si>
  <si>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</si>
  <si>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</si>
  <si>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</si>
  <si>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</si>
  <si>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</si>
  <si>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</si>
  <si>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</si>
  <si>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</si>
  <si>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</si>
  <si>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</si>
  <si>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</si>
  <si>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</si>
  <si>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</si>
  <si>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</si>
  <si>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</si>
  <si>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</si>
  <si>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</si>
  <si>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</si>
  <si>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</si>
  <si>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</si>
  <si>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</si>
  <si>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</si>
  <si>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</si>
  <si>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</si>
  <si>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</si>
  <si>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</si>
  <si>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</si>
  <si>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</si>
  <si>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</si>
  <si>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</si>
  <si>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</si>
  <si>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</si>
  <si>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</si>
  <si>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</si>
  <si>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</si>
  <si>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</si>
  <si>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</si>
  <si>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</si>
  <si>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</si>
  <si>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</si>
  <si>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</si>
  <si>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</si>
  <si>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</si>
  <si>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</si>
  <si>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</si>
  <si>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</si>
  <si>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</si>
  <si>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</si>
  <si>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</si>
  <si>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</si>
  <si>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</si>
  <si>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</si>
  <si>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</si>
  <si>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</si>
  <si>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</si>
  <si>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</si>
  <si>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</si>
  <si>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</si>
  <si>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</si>
  <si>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</si>
  <si>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</si>
  <si>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</si>
  <si>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</si>
  <si>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</si>
  <si>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</si>
  <si>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</si>
  <si>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</si>
  <si>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</si>
  <si>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</si>
  <si>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</si>
  <si>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</si>
  <si>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</si>
  <si>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</si>
  <si>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</si>
  <si>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</si>
  <si>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</si>
  <si>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</si>
  <si>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</si>
  <si>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</si>
  <si>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</si>
  <si>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</si>
  <si>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</si>
  <si>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</si>
  <si>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</si>
  <si>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</si>
  <si>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</si>
  <si>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</si>
  <si>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</si>
  <si>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</si>
  <si>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</si>
  <si>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</si>
  <si>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</si>
  <si>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</si>
  <si>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</si>
  <si>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</si>
  <si>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</si>
  <si>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</si>
  <si>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</si>
  <si>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</si>
  <si>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</si>
  <si>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</si>
  <si>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</si>
  <si>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</si>
  <si>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</si>
  <si>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</si>
  <si>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</si>
  <si>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</si>
  <si>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</si>
  <si>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</si>
  <si>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</si>
  <si>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</si>
  <si>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</si>
  <si>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</si>
  <si>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</si>
  <si>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</si>
  <si>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</si>
  <si>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</si>
  <si>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</si>
  <si>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</si>
  <si>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</si>
  <si>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</si>
  <si>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</si>
  <si>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</si>
  <si>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</si>
  <si>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</si>
  <si>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</si>
  <si>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</si>
  <si>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</si>
  <si>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</si>
  <si>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</si>
  <si>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</si>
  <si>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</si>
  <si>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</si>
  <si>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</si>
  <si>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</si>
  <si>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</si>
  <si>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</si>
  <si>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</si>
  <si>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</si>
  <si>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</si>
  <si>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</si>
  <si>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</si>
  <si>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</si>
  <si>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</si>
  <si>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</si>
  <si>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</si>
  <si>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</si>
  <si>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</si>
  <si>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</si>
  <si>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2</t>
  </si>
  <si>
    <t>Отчет об исполнении договора управления многоквартирного дома 
Мамина-Сибиряка, 2 в части текущего ремонта</t>
  </si>
  <si>
    <t xml:space="preserve">Техническое освидетельствование лифта. </t>
  </si>
  <si>
    <t>Техническое обслуживание охранной сигнализации.</t>
  </si>
  <si>
    <t>ежемесячно</t>
  </si>
  <si>
    <t>ежегодно</t>
  </si>
  <si>
    <t>площадь дома</t>
  </si>
  <si>
    <t xml:space="preserve">  -  ремонт подъезда</t>
  </si>
  <si>
    <t xml:space="preserve">  -  техническое обслуживание охранной сигнализации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</si>
  <si>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</si>
  <si>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</si>
  <si>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2022 году (руб.):</t>
  </si>
  <si>
    <t>Итого выполнено работ в 2022 года (руб.):</t>
  </si>
  <si>
    <t>Перерасход (+) или экономия 
(-) средств по состоянию на 31 декабря 2022 года (руб.):</t>
  </si>
  <si>
    <t>разово</t>
  </si>
  <si>
    <t>АВР 1/22 от 10.06.2022, Решение</t>
  </si>
  <si>
    <t xml:space="preserve">  -  механизированная уборка и вывоз снега с придомовой территории</t>
  </si>
  <si>
    <t>АВР 2/22 от 29.04.2022</t>
  </si>
  <si>
    <t>АВР 3/22 от 31.12.2022</t>
  </si>
  <si>
    <t>Механизированная уборка и вывоз снега с придомовой территории.</t>
  </si>
  <si>
    <t>АВР 4/22 от 09.03.2022, Решение</t>
  </si>
  <si>
    <t>Благоустройство придомовой территории (приобретение рассады и поливочного пистолета).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</si>
</sst>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" fillId="0" borderId="0"/>
  </cellStyleXfs>
  <cellXfs count="186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center"/>
    </xf>
    <xf numFmtId="1" fontId="6" fillId="0" borderId="0" xfId="10" applyNumberFormat="1" applyFill="1" applyBorder="1" applyAlignment="1">
      <alignment horizontal="center"/>
    </xf>
    <xf numFmtId="4" fontId="6" fillId="0" borderId="0" xfId="10" applyNumberFormat="1" applyFill="1" applyBorder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9" fillId="0" borderId="0" xfId="2" applyFont="1" applyFill="1" applyBorder="1" applyAlignment="1"/>
    <xf numFmtId="0" fontId="9" fillId="0" borderId="0" xfId="4" applyFont="1" applyFill="1" applyBorder="1" applyAlignment="1">
      <alignment horizontal="center"/>
    </xf>
    <xf numFmtId="0" fontId="8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2" fontId="0" fillId="0" borderId="0" xfId="0" applyNumberFormat="1" applyFill="1" applyBorder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49" fontId="17" fillId="0" borderId="0" xfId="0" applyNumberFormat="1" applyFont="1" applyAlignment="1">
      <alignment wrapText="1"/>
    </xf>
    <xf numFmtId="0" fontId="24" fillId="0" borderId="6" xfId="11" applyFont="1" applyFill="1" applyBorder="1" applyAlignment="1"/>
    <xf numFmtId="0" fontId="3" fillId="0" borderId="0" xfId="12" applyFill="1" applyBorder="1" applyAlignment="1">
      <alignment horizontal="center"/>
    </xf>
    <xf numFmtId="4" fontId="3" fillId="0" borderId="0" xfId="12" applyNumberFormat="1" applyFill="1" applyBorder="1" applyAlignment="1"/>
    <xf numFmtId="4" fontId="26" fillId="3" borderId="0" xfId="13" applyNumberFormat="1" applyFon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center"/>
    </xf>
    <xf numFmtId="4" fontId="16" fillId="0" borderId="0" xfId="1" applyNumberFormat="1" applyFont="1" applyBorder="1" applyAlignment="1" applyProtection="1">
      <alignment horizontal="center" vertical="center" wrapText="1"/>
      <protection locked="0"/>
    </xf>
    <xf numFmtId="4" fontId="16" fillId="0" borderId="0" xfId="0" applyNumberFormat="1" applyFont="1" applyBorder="1"/>
    <xf numFmtId="0" fontId="10" fillId="0" borderId="0" xfId="5" applyFill="1" applyBorder="1" applyAlignment="1"/>
    <xf numFmtId="0" fontId="10" fillId="0" borderId="0" xfId="5" applyFill="1" applyBorder="1" applyAlignment="1">
      <alignment horizontal="center"/>
    </xf>
    <xf numFmtId="4" fontId="24" fillId="0" borderId="0" xfId="5" applyNumberFormat="1" applyFont="1" applyFill="1" applyBorder="1" applyAlignment="1"/>
    <xf numFmtId="0" fontId="4" fillId="0" borderId="0" xfId="5" applyFont="1" applyFill="1" applyBorder="1" applyAlignment="1"/>
    <xf numFmtId="0" fontId="10" fillId="0" borderId="0" xfId="5" applyNumberFormat="1" applyFill="1" applyBorder="1" applyAlignment="1">
      <alignment horizontal="center"/>
    </xf>
    <xf numFmtId="4" fontId="10" fillId="0" borderId="0" xfId="5" applyNumberFormat="1" applyFill="1" applyBorder="1" applyAlignment="1">
      <alignment vertical="center"/>
    </xf>
    <xf numFmtId="0" fontId="1" fillId="0" borderId="0" xfId="12" applyFont="1" applyFill="1" applyBorder="1" applyAlignment="1">
      <alignment horizontal="center"/>
    </xf>
    <xf numFmtId="0" fontId="1" fillId="0" borderId="0" xfId="12" applyFont="1" applyFill="1" applyBorder="1"/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6"/>
    <cellStyle name="Обычный 2 5" xfId="13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10"/>
    <cellStyle name="Обычный 5 3" xfId="9"/>
    <cellStyle name="Обычный 6" xfId="12"/>
    <cellStyle name="Обычный 7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9" sqref="K2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6" t="s">
        <v>177</v>
      </c>
      <c r="B2" s="176"/>
      <c r="C2" s="176"/>
      <c r="D2" s="176"/>
      <c r="E2" s="176"/>
      <c r="F2" s="176"/>
      <c r="G2" s="176"/>
      <c r="H2" s="176"/>
      <c r="I2" s="176"/>
      <c r="J2" s="176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44562</v>
      </c>
      <c r="K4" s="110"/>
      <c r="L4" s="110"/>
      <c r="M4" s="110"/>
      <c r="N4" s="110"/>
    </row>
    <row r="5" spans="1:18">
      <c r="A5" s="1" t="s">
        <v>1</v>
      </c>
      <c r="E5" s="118">
        <v>44926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3" t="s">
        <v>2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0</v>
      </c>
      <c r="K8" s="110"/>
      <c r="L8" s="177"/>
      <c r="M8" s="110"/>
      <c r="N8" s="110"/>
      <c r="O8" s="71" t="s">
        <v>82</v>
      </c>
      <c r="R8" s="16"/>
    </row>
    <row r="9" spans="1:18" ht="18.75" customHeight="1" outlineLevel="1">
      <c r="A9" s="173" t="s">
        <v>3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10"/>
      <c r="L9" s="177"/>
      <c r="M9" s="110"/>
      <c r="N9" s="110"/>
      <c r="O9" s="71" t="s">
        <v>83</v>
      </c>
    </row>
    <row r="10" spans="1:18" ht="18.75" customHeight="1" outlineLevel="1">
      <c r="A10" s="173" t="s">
        <v>4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171760.72400000005</v>
      </c>
      <c r="K10" s="110"/>
      <c r="L10" s="177"/>
      <c r="M10" s="110"/>
      <c r="N10" s="110"/>
      <c r="O10" s="71" t="s">
        <v>84</v>
      </c>
    </row>
    <row r="11" spans="1:18" outlineLevel="1">
      <c r="A11" s="173" t="s">
        <v>5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453799.96799999994</v>
      </c>
      <c r="K11" s="110"/>
      <c r="L11" s="177"/>
      <c r="M11" s="110"/>
      <c r="N11" s="110"/>
      <c r="O11" s="71" t="s">
        <v>85</v>
      </c>
    </row>
    <row r="12" spans="1:18" ht="18.75" customHeight="1" outlineLevel="1">
      <c r="A12" s="173" t="s">
        <v>6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346677.86399999994</v>
      </c>
      <c r="K12" s="110"/>
      <c r="L12" s="177"/>
      <c r="M12" s="110"/>
      <c r="N12" s="110"/>
      <c r="O12" s="71" t="s">
        <v>86</v>
      </c>
    </row>
    <row r="13" spans="1:18" ht="18.75" customHeight="1" outlineLevel="1">
      <c r="A13" s="173" t="s">
        <v>7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107122.10400000001</v>
      </c>
      <c r="K13" s="110"/>
      <c r="L13" s="177"/>
      <c r="M13" s="110"/>
      <c r="N13" s="110"/>
      <c r="O13" s="71" t="s">
        <v>87</v>
      </c>
    </row>
    <row r="14" spans="1:18" ht="18.75" customHeight="1" outlineLevel="1">
      <c r="A14" s="173" t="s">
        <v>8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0</v>
      </c>
      <c r="K14" s="110"/>
      <c r="L14" s="177"/>
      <c r="M14" s="110"/>
      <c r="N14" s="110"/>
      <c r="O14" s="71" t="s">
        <v>88</v>
      </c>
    </row>
    <row r="15" spans="1:18" ht="18.75" customHeight="1" outlineLevel="1">
      <c r="A15" s="173" t="s">
        <v>9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432768</v>
      </c>
      <c r="K15" s="110"/>
      <c r="L15" s="177"/>
      <c r="M15" s="110"/>
      <c r="N15" s="110"/>
      <c r="O15" s="71" t="s">
        <v>89</v>
      </c>
    </row>
    <row r="16" spans="1:18" ht="18.75" customHeight="1" outlineLevel="1">
      <c r="A16" s="173" t="s">
        <v>10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432768</v>
      </c>
      <c r="K16" s="110"/>
      <c r="L16" s="177"/>
      <c r="M16" s="110"/>
      <c r="N16" s="110"/>
      <c r="O16" s="71" t="s">
        <v>90</v>
      </c>
    </row>
    <row r="17" spans="1:23" ht="18.75" customHeight="1" outlineLevel="1">
      <c r="A17" s="173" t="s">
        <v>11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10"/>
      <c r="L17" s="177"/>
      <c r="M17" s="110"/>
      <c r="N17" s="110"/>
      <c r="O17" s="71" t="s">
        <v>91</v>
      </c>
    </row>
    <row r="18" spans="1:23" ht="18.75" customHeight="1" outlineLevel="1">
      <c r="A18" s="173" t="s">
        <v>12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10"/>
      <c r="L18" s="177"/>
      <c r="M18" s="110"/>
      <c r="N18" s="110"/>
      <c r="O18" s="71" t="s">
        <v>92</v>
      </c>
    </row>
    <row r="19" spans="1:23" ht="18.75" customHeight="1" outlineLevel="1">
      <c r="A19" s="173" t="s">
        <v>13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10"/>
      <c r="L19" s="177"/>
      <c r="M19" s="110"/>
      <c r="N19" s="110"/>
      <c r="O19" s="71" t="s">
        <v>93</v>
      </c>
    </row>
    <row r="20" spans="1:23" ht="18.75" customHeight="1" outlineLevel="1">
      <c r="A20" s="173" t="s">
        <v>14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10"/>
      <c r="L20" s="177"/>
      <c r="M20" s="110"/>
      <c r="N20" s="110"/>
      <c r="O20" s="71" t="s">
        <v>94</v>
      </c>
    </row>
    <row r="21" spans="1:23" ht="18.75" customHeight="1" outlineLevel="1">
      <c r="A21" s="173" t="s">
        <v>15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432768</v>
      </c>
      <c r="K21" s="110"/>
      <c r="L21" s="177"/>
      <c r="M21" s="110"/>
      <c r="N21" s="110"/>
      <c r="O21" s="71" t="s">
        <v>95</v>
      </c>
    </row>
    <row r="22" spans="1:23" ht="18.75" customHeight="1" outlineLevel="1">
      <c r="A22" s="173" t="s">
        <v>16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0</v>
      </c>
      <c r="K22" s="110"/>
      <c r="L22" s="177"/>
      <c r="M22" s="110"/>
      <c r="N22" s="110"/>
      <c r="O22" s="71" t="s">
        <v>96</v>
      </c>
    </row>
    <row r="23" spans="1:23" ht="18.75" customHeight="1" outlineLevel="1">
      <c r="A23" s="173" t="s">
        <v>17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10"/>
      <c r="L23" s="177"/>
      <c r="M23" s="110"/>
      <c r="N23" s="110"/>
      <c r="O23" s="71" t="s">
        <v>97</v>
      </c>
    </row>
    <row r="24" spans="1:23" ht="18.75" customHeight="1" outlineLevel="1">
      <c r="A24" s="173" t="s">
        <v>18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192792.69200000004</v>
      </c>
      <c r="K24" s="110"/>
      <c r="L24" s="177"/>
      <c r="M24" s="110"/>
      <c r="N24" s="110"/>
      <c r="O24" s="71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0" t="s">
        <v>19</v>
      </c>
      <c r="B27" s="160"/>
      <c r="C27" s="160"/>
      <c r="D27" s="160"/>
      <c r="E27" s="160"/>
      <c r="F27" s="160" t="s">
        <v>20</v>
      </c>
      <c r="G27" s="160"/>
      <c r="H27" s="5" t="s">
        <v>57</v>
      </c>
      <c r="I27" s="160" t="s">
        <v>21</v>
      </c>
      <c r="J27" s="160"/>
      <c r="K27" s="110"/>
      <c r="L27" s="178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5">
        <f>VLOOKUP(A28,ПТО!$A$39:$D$53,2,FALSE)</f>
        <v>69154.8</v>
      </c>
      <c r="G28" s="155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10"/>
      <c r="L28" s="178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4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4"/>
      <c r="C29" s="154"/>
      <c r="D29" s="154"/>
      <c r="E29" s="154"/>
      <c r="F29" s="155">
        <f>VLOOKUP(A29,ПТО!$A$39:$D$53,2,FALSE)</f>
        <v>90172.44</v>
      </c>
      <c r="G29" s="155"/>
      <c r="H29" s="42" t="str">
        <f>VLOOKUP(A29,ПТО!$A$39:$D$53,3,FALSE)</f>
        <v>Ежемесячно</v>
      </c>
      <c r="I29" s="156">
        <f>VLOOKUP(A29,ПТО!$A$39:$D$53,4,FALSE)</f>
        <v>12</v>
      </c>
      <c r="J29" s="156"/>
      <c r="K29" s="110"/>
      <c r="L29" s="178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5">
        <f>VLOOKUP(A30,ПТО!$A$39:$D$53,2,FALSE)</f>
        <v>46781.16</v>
      </c>
      <c r="G30" s="155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10"/>
      <c r="L30" s="178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5">
        <f>VLOOKUP(A31,ПТО!$A$39:$D$53,2,FALSE)</f>
        <v>27119.52</v>
      </c>
      <c r="G31" s="155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10"/>
      <c r="L31" s="178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10"/>
      <c r="L32" s="178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5">
        <f>VLOOKUP(A33,ПТО!$A$39:$D$53,2,FALSE)</f>
        <v>9039.84</v>
      </c>
      <c r="G33" s="155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10"/>
      <c r="L33" s="178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5">
        <f>VLOOKUP(A34,ПТО!$A$39:$D$53,2,FALSE)</f>
        <v>50397.120000000003</v>
      </c>
      <c r="G34" s="155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10"/>
      <c r="L34" s="178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4" t="str">
        <f>ПТО!A46</f>
        <v>Работы по содержанию лифта (лифтов)</v>
      </c>
      <c r="B35" s="154"/>
      <c r="C35" s="154"/>
      <c r="D35" s="154"/>
      <c r="E35" s="154"/>
      <c r="F35" s="155">
        <f>VLOOKUP(A35,ПТО!$A$39:$D$53,2,FALSE)</f>
        <v>54013.08</v>
      </c>
      <c r="G35" s="155"/>
      <c r="H35" s="42" t="str">
        <f>VLOOKUP(A35,ПТО!$A$39:$D$53,3,FALSE)</f>
        <v>Ежемесячно</v>
      </c>
      <c r="I35" s="156">
        <f>VLOOKUP(A35,ПТО!$A$39:$D$53,4,FALSE)</f>
        <v>12</v>
      </c>
      <c r="J35" s="156"/>
      <c r="K35" s="110"/>
      <c r="L35" s="178"/>
      <c r="M35" s="117"/>
      <c r="N35" s="110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54">
        <f>ПТО!A47</f>
        <v>0</v>
      </c>
      <c r="B36" s="154"/>
      <c r="C36" s="154"/>
      <c r="D36" s="154"/>
      <c r="E36" s="154"/>
      <c r="F36" s="155" t="e">
        <f>VLOOKUP(A36,ПТО!$A$39:$D$53,2,FALSE)</f>
        <v>#N/A</v>
      </c>
      <c r="G36" s="155"/>
      <c r="H36" s="42" t="e">
        <f>VLOOKUP(A36,ПТО!$A$39:$D$53,3,FALSE)</f>
        <v>#N/A</v>
      </c>
      <c r="I36" s="156" t="e">
        <f>VLOOKUP(A36,ПТО!$A$39:$D$53,4,FALSE)</f>
        <v>#N/A</v>
      </c>
      <c r="J36" s="156"/>
      <c r="K36" s="110"/>
      <c r="L36" s="178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10"/>
      <c r="L37" s="178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10"/>
      <c r="L38" s="178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10"/>
      <c r="L39" s="178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10"/>
      <c r="L40" s="178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10"/>
      <c r="L41" s="178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10"/>
      <c r="L42" s="178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 xml:space="preserve">Техническое освидетельствование лифта. </v>
      </c>
      <c r="B43" s="154"/>
      <c r="C43" s="154"/>
      <c r="D43" s="154"/>
      <c r="E43" s="154"/>
      <c r="F43" s="155">
        <f>VLOOKUP(A43,ПТО!$A$2:$D$31,4,FALSE)</f>
        <v>8100</v>
      </c>
      <c r="G43" s="155"/>
      <c r="H43" s="19" t="str">
        <f>VLOOKUP(A43,ПТО!$A$2:$D$31,2,FALSE)</f>
        <v>ежегодно</v>
      </c>
      <c r="I43" s="156">
        <f>VLOOKUP(A43,ПТО!$A$2:$D$31,3,FALSE)</f>
        <v>1</v>
      </c>
      <c r="J43" s="156"/>
      <c r="K43" s="110"/>
      <c r="L43" s="178"/>
      <c r="M43" s="117"/>
      <c r="N43" s="110"/>
      <c r="O43" s="23" t="str">
        <f t="shared" si="1"/>
        <v xml:space="preserve">Техническое освидетельствование лифта. </v>
      </c>
      <c r="R43" s="22" t="s">
        <v>72</v>
      </c>
    </row>
    <row r="44" spans="1:18" ht="51" customHeight="1" outlineLevel="1">
      <c r="A44" s="154" t="str">
        <f>ПТО!A3</f>
        <v>Техническое обслуживание охранной сигнализации.</v>
      </c>
      <c r="B44" s="154"/>
      <c r="C44" s="154"/>
      <c r="D44" s="154"/>
      <c r="E44" s="154"/>
      <c r="F44" s="155">
        <f>VLOOKUP(A44,ПТО!$A$2:$D$31,4,FALSE)</f>
        <v>10500</v>
      </c>
      <c r="G44" s="155"/>
      <c r="H44" s="25" t="str">
        <f>VLOOKUP(A44,ПТО!$A$2:$D$31,2,FALSE)</f>
        <v>ежемесячно</v>
      </c>
      <c r="I44" s="156">
        <f>VLOOKUP(A44,ПТО!$A$2:$D$31,3,FALSE)</f>
        <v>12</v>
      </c>
      <c r="J44" s="156"/>
      <c r="K44" s="110"/>
      <c r="L44" s="178"/>
      <c r="M44" s="117"/>
      <c r="N44" s="110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4" t="str">
        <f>ПТО!A4</f>
        <v>Благоустройство придомовой территории (приобретение рассады и поливочного пистолета).</v>
      </c>
      <c r="B45" s="154"/>
      <c r="C45" s="154"/>
      <c r="D45" s="154"/>
      <c r="E45" s="154"/>
      <c r="F45" s="155">
        <f>VLOOKUP(A45,ПТО!$A$2:$D$31,4,FALSE)</f>
        <v>4960</v>
      </c>
      <c r="G45" s="155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10"/>
      <c r="L45" s="178"/>
      <c r="M45" s="117"/>
      <c r="N45" s="110"/>
      <c r="O45" s="23" t="str">
        <f t="shared" si="1"/>
        <v>Благоустройство придомовой территории (приобретение рассады и поливочного пистолета).</v>
      </c>
      <c r="R45" s="22" t="s">
        <v>72</v>
      </c>
    </row>
    <row r="46" spans="1:18" ht="51" customHeight="1" outlineLevel="1">
      <c r="A46" s="154" t="str">
        <f>ПТО!A5</f>
        <v>Механизированная уборка и вывоз снега с придомовой территории.</v>
      </c>
      <c r="B46" s="154"/>
      <c r="C46" s="154"/>
      <c r="D46" s="154"/>
      <c r="E46" s="154"/>
      <c r="F46" s="155">
        <f>VLOOKUP(A46,ПТО!$A$2:$D$31,4,FALSE)</f>
        <v>9917</v>
      </c>
      <c r="G46" s="155"/>
      <c r="H46" s="25" t="str">
        <f>VLOOKUP(A46,ПТО!$A$2:$D$31,2,FALSE)</f>
        <v>разово</v>
      </c>
      <c r="I46" s="156">
        <f>VLOOKUP(A46,ПТО!$A$2:$D$31,3,FALSE)</f>
        <v>1</v>
      </c>
      <c r="J46" s="156"/>
      <c r="K46" s="110"/>
      <c r="L46" s="178"/>
      <c r="M46" s="117"/>
      <c r="N46" s="110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hidden="1" customHeight="1" outlineLevel="1">
      <c r="A47" s="154">
        <f>ПТО!A6</f>
        <v>0</v>
      </c>
      <c r="B47" s="154"/>
      <c r="C47" s="154"/>
      <c r="D47" s="154"/>
      <c r="E47" s="154"/>
      <c r="F47" s="155" t="e">
        <f>VLOOKUP(A47,ПТО!$A$2:$D$31,4,FALSE)</f>
        <v>#N/A</v>
      </c>
      <c r="G47" s="155"/>
      <c r="H47" s="25" t="e">
        <f>VLOOKUP(A47,ПТО!$A$2:$D$31,2,FALSE)</f>
        <v>#N/A</v>
      </c>
      <c r="I47" s="156" t="e">
        <f>VLOOKUP(A47,ПТО!$A$2:$D$31,3,FALSE)</f>
        <v>#N/A</v>
      </c>
      <c r="J47" s="156"/>
      <c r="K47" s="110"/>
      <c r="L47" s="178"/>
      <c r="M47" s="117"/>
      <c r="N47" s="110"/>
      <c r="O47" s="23">
        <f t="shared" si="1"/>
        <v>0</v>
      </c>
      <c r="R47" s="22" t="s">
        <v>72</v>
      </c>
    </row>
    <row r="48" spans="1:18" ht="51" hidden="1" customHeight="1" outlineLevel="1">
      <c r="A48" s="154">
        <f>ПТО!A7</f>
        <v>0</v>
      </c>
      <c r="B48" s="154"/>
      <c r="C48" s="154"/>
      <c r="D48" s="154"/>
      <c r="E48" s="154"/>
      <c r="F48" s="155" t="e">
        <f>VLOOKUP(A48,ПТО!$A$2:$D$31,4,FALSE)</f>
        <v>#N/A</v>
      </c>
      <c r="G48" s="155"/>
      <c r="H48" s="25" t="e">
        <f>VLOOKUP(A48,ПТО!$A$2:$D$31,2,FALSE)</f>
        <v>#N/A</v>
      </c>
      <c r="I48" s="156" t="e">
        <f>VLOOKUP(A48,ПТО!$A$2:$D$31,3,FALSE)</f>
        <v>#N/A</v>
      </c>
      <c r="J48" s="156"/>
      <c r="K48" s="110"/>
      <c r="L48" s="178"/>
      <c r="M48" s="117"/>
      <c r="N48" s="110"/>
      <c r="O48" s="23">
        <f t="shared" si="1"/>
        <v>0</v>
      </c>
      <c r="R48" s="22" t="s">
        <v>72</v>
      </c>
    </row>
    <row r="49" spans="1:18" ht="51" hidden="1" customHeight="1" outlineLevel="1">
      <c r="A49" s="154">
        <f>ПТО!A8</f>
        <v>0</v>
      </c>
      <c r="B49" s="154"/>
      <c r="C49" s="154"/>
      <c r="D49" s="154"/>
      <c r="E49" s="154"/>
      <c r="F49" s="155" t="e">
        <f>VLOOKUP(A49,ПТО!$A$2:$D$31,4,FALSE)</f>
        <v>#N/A</v>
      </c>
      <c r="G49" s="155"/>
      <c r="H49" s="25" t="e">
        <f>VLOOKUP(A49,ПТО!$A$2:$D$31,2,FALSE)</f>
        <v>#N/A</v>
      </c>
      <c r="I49" s="156" t="e">
        <f>VLOOKUP(A49,ПТО!$A$2:$D$31,3,FALSE)</f>
        <v>#N/A</v>
      </c>
      <c r="J49" s="156"/>
      <c r="K49" s="110"/>
      <c r="L49" s="178"/>
      <c r="M49" s="117"/>
      <c r="N49" s="110"/>
      <c r="O49" s="23">
        <f t="shared" si="1"/>
        <v>0</v>
      </c>
      <c r="R49" s="22" t="s">
        <v>72</v>
      </c>
    </row>
    <row r="50" spans="1:18" ht="51" hidden="1" customHeight="1" outlineLevel="1">
      <c r="A50" s="154">
        <f>ПТО!A9</f>
        <v>0</v>
      </c>
      <c r="B50" s="154"/>
      <c r="C50" s="154"/>
      <c r="D50" s="154"/>
      <c r="E50" s="154"/>
      <c r="F50" s="155" t="e">
        <f>VLOOKUP(A50,ПТО!$A$2:$D$31,4,FALSE)</f>
        <v>#N/A</v>
      </c>
      <c r="G50" s="155"/>
      <c r="H50" s="25" t="e">
        <f>VLOOKUP(A50,ПТО!$A$2:$D$31,2,FALSE)</f>
        <v>#N/A</v>
      </c>
      <c r="I50" s="156" t="e">
        <f>VLOOKUP(A50,ПТО!$A$2:$D$31,3,FALSE)</f>
        <v>#N/A</v>
      </c>
      <c r="J50" s="156"/>
      <c r="K50" s="110"/>
      <c r="L50" s="178"/>
      <c r="M50" s="117"/>
      <c r="N50" s="110"/>
      <c r="O50" s="23">
        <f t="shared" si="1"/>
        <v>0</v>
      </c>
      <c r="R50" s="22" t="s">
        <v>72</v>
      </c>
    </row>
    <row r="51" spans="1:18" ht="51" hidden="1" customHeight="1" outlineLevel="1">
      <c r="A51" s="154">
        <f>ПТО!A10</f>
        <v>0</v>
      </c>
      <c r="B51" s="154"/>
      <c r="C51" s="154"/>
      <c r="D51" s="154"/>
      <c r="E51" s="154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6" t="e">
        <f>VLOOKUP(A51,ПТО!$A$2:$D$31,3,FALSE)</f>
        <v>#N/A</v>
      </c>
      <c r="J51" s="156"/>
      <c r="K51" s="110"/>
      <c r="L51" s="178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54">
        <f>ПТО!A11</f>
        <v>0</v>
      </c>
      <c r="B52" s="154"/>
      <c r="C52" s="154"/>
      <c r="D52" s="154"/>
      <c r="E52" s="154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6" t="e">
        <f>VLOOKUP(A52,ПТО!$A$2:$D$31,3,FALSE)</f>
        <v>#N/A</v>
      </c>
      <c r="J52" s="156"/>
      <c r="K52" s="110"/>
      <c r="L52" s="178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4">
        <f>ПТО!A12</f>
        <v>0</v>
      </c>
      <c r="B53" s="154"/>
      <c r="C53" s="154"/>
      <c r="D53" s="154"/>
      <c r="E53" s="154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6" t="e">
        <f>VLOOKUP(A53,ПТО!$A$2:$D$31,3,FALSE)</f>
        <v>#N/A</v>
      </c>
      <c r="J53" s="156"/>
      <c r="K53" s="110"/>
      <c r="L53" s="178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4">
        <f>ПТО!A13</f>
        <v>0</v>
      </c>
      <c r="B54" s="154"/>
      <c r="C54" s="154"/>
      <c r="D54" s="154"/>
      <c r="E54" s="154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6" t="e">
        <f>VLOOKUP(A54,ПТО!$A$2:$D$31,3,FALSE)</f>
        <v>#N/A</v>
      </c>
      <c r="J54" s="156"/>
      <c r="K54" s="110"/>
      <c r="L54" s="178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4">
        <f>ПТО!A14</f>
        <v>0</v>
      </c>
      <c r="B55" s="154"/>
      <c r="C55" s="154"/>
      <c r="D55" s="154"/>
      <c r="E55" s="154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6" t="e">
        <f>VLOOKUP(A55,ПТО!$A$2:$D$31,3,FALSE)</f>
        <v>#N/A</v>
      </c>
      <c r="J55" s="156"/>
      <c r="K55" s="110"/>
      <c r="L55" s="178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4">
        <f>ПТО!A15</f>
        <v>0</v>
      </c>
      <c r="B56" s="154"/>
      <c r="C56" s="154"/>
      <c r="D56" s="154"/>
      <c r="E56" s="154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6" t="e">
        <f>VLOOKUP(A56,ПТО!$A$2:$D$31,3,FALSE)</f>
        <v>#N/A</v>
      </c>
      <c r="J56" s="156"/>
      <c r="K56" s="110"/>
      <c r="L56" s="178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4">
        <f>ПТО!A16</f>
        <v>0</v>
      </c>
      <c r="B57" s="154"/>
      <c r="C57" s="154"/>
      <c r="D57" s="154"/>
      <c r="E57" s="154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6" t="e">
        <f>VLOOKUP(A57,ПТО!$A$2:$D$31,3,FALSE)</f>
        <v>#N/A</v>
      </c>
      <c r="J57" s="156"/>
      <c r="K57" s="110"/>
      <c r="L57" s="178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6" t="e">
        <f>VLOOKUP(A58,ПТО!$A$2:$D$31,3,FALSE)</f>
        <v>#N/A</v>
      </c>
      <c r="J58" s="156"/>
      <c r="K58" s="110"/>
      <c r="L58" s="178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10"/>
      <c r="L59" s="178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10"/>
      <c r="L60" s="178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10"/>
      <c r="L61" s="178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10"/>
      <c r="L62" s="178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10"/>
      <c r="L63" s="178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10"/>
      <c r="L64" s="178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10"/>
      <c r="L65" s="178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10"/>
      <c r="L66" s="178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10"/>
      <c r="L67" s="178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10"/>
      <c r="L68" s="178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10"/>
      <c r="L69" s="178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10"/>
      <c r="L70" s="178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7"/>
      <c r="L71" s="178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10"/>
      <c r="L72" s="178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10"/>
      <c r="L75" s="161"/>
      <c r="M75" s="110"/>
      <c r="N75" s="110"/>
      <c r="O75" s="71" t="s">
        <v>99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10"/>
      <c r="L76" s="161"/>
      <c r="M76" s="110"/>
      <c r="N76" s="110"/>
      <c r="O76" s="71" t="s">
        <v>100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10"/>
      <c r="L77" s="161"/>
      <c r="M77" s="110"/>
      <c r="N77" s="110"/>
      <c r="O77" s="71" t="s">
        <v>101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8">
        <f>VLOOKUP(O78,АО,3,FALSE)</f>
        <v>0</v>
      </c>
      <c r="K78" s="110"/>
      <c r="L78" s="161"/>
      <c r="M78" s="110"/>
      <c r="N78" s="110"/>
      <c r="O78" s="71" t="s">
        <v>102</v>
      </c>
    </row>
    <row r="79" spans="1:16384">
      <c r="A79" s="116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62" t="s">
        <v>2</v>
      </c>
      <c r="B81" s="162"/>
      <c r="C81" s="162"/>
      <c r="D81" s="162"/>
      <c r="E81" s="162"/>
      <c r="F81" s="162"/>
      <c r="G81" s="162"/>
      <c r="H81" s="162"/>
      <c r="I81" s="162"/>
      <c r="J81" s="98">
        <f t="shared" ref="J81:J90" si="2">VLOOKUP(O81,АО,3,FALSE)</f>
        <v>0</v>
      </c>
      <c r="K81" s="110"/>
      <c r="L81" s="179"/>
      <c r="M81" s="110"/>
      <c r="N81" s="110"/>
      <c r="O81" s="71" t="s">
        <v>103</v>
      </c>
    </row>
    <row r="82" spans="1:15" outlineLevel="1">
      <c r="A82" s="162" t="s">
        <v>3</v>
      </c>
      <c r="B82" s="162"/>
      <c r="C82" s="162"/>
      <c r="D82" s="162"/>
      <c r="E82" s="162"/>
      <c r="F82" s="162"/>
      <c r="G82" s="162"/>
      <c r="H82" s="162"/>
      <c r="I82" s="162"/>
      <c r="J82" s="98">
        <f t="shared" si="2"/>
        <v>0</v>
      </c>
      <c r="K82" s="110"/>
      <c r="L82" s="179"/>
      <c r="M82" s="110"/>
      <c r="N82" s="110"/>
      <c r="O82" s="71" t="s">
        <v>104</v>
      </c>
    </row>
    <row r="83" spans="1:15" outlineLevel="1">
      <c r="A83" s="169" t="s">
        <v>4</v>
      </c>
      <c r="B83" s="170"/>
      <c r="C83" s="170"/>
      <c r="D83" s="170"/>
      <c r="E83" s="170"/>
      <c r="F83" s="170"/>
      <c r="G83" s="170"/>
      <c r="H83" s="170"/>
      <c r="I83" s="171"/>
      <c r="J83" s="98">
        <f t="shared" si="2"/>
        <v>18296.7</v>
      </c>
      <c r="K83" s="110"/>
      <c r="L83" s="179"/>
      <c r="M83" s="110"/>
      <c r="N83" s="110"/>
      <c r="O83" s="71" t="s">
        <v>105</v>
      </c>
    </row>
    <row r="84" spans="1:15" outlineLevel="1">
      <c r="A84" s="169" t="s">
        <v>16</v>
      </c>
      <c r="B84" s="170"/>
      <c r="C84" s="170"/>
      <c r="D84" s="170"/>
      <c r="E84" s="170"/>
      <c r="F84" s="170"/>
      <c r="G84" s="170"/>
      <c r="H84" s="170"/>
      <c r="I84" s="171"/>
      <c r="J84" s="98">
        <f t="shared" si="2"/>
        <v>0</v>
      </c>
      <c r="K84" s="110"/>
      <c r="L84" s="179"/>
      <c r="M84" s="110"/>
      <c r="N84" s="110"/>
      <c r="O84" s="71" t="s">
        <v>106</v>
      </c>
    </row>
    <row r="85" spans="1:15" outlineLevel="1">
      <c r="A85" s="169" t="s">
        <v>17</v>
      </c>
      <c r="B85" s="170"/>
      <c r="C85" s="170"/>
      <c r="D85" s="170"/>
      <c r="E85" s="170"/>
      <c r="F85" s="170"/>
      <c r="G85" s="170"/>
      <c r="H85" s="170"/>
      <c r="I85" s="171"/>
      <c r="J85" s="98">
        <f t="shared" si="2"/>
        <v>0</v>
      </c>
      <c r="K85" s="110"/>
      <c r="L85" s="179"/>
      <c r="M85" s="110"/>
      <c r="N85" s="110"/>
      <c r="O85" s="71" t="s">
        <v>107</v>
      </c>
    </row>
    <row r="86" spans="1:15" outlineLevel="1">
      <c r="A86" s="169" t="s">
        <v>18</v>
      </c>
      <c r="B86" s="170"/>
      <c r="C86" s="170"/>
      <c r="D86" s="170"/>
      <c r="E86" s="170"/>
      <c r="F86" s="170"/>
      <c r="G86" s="170"/>
      <c r="H86" s="170"/>
      <c r="I86" s="171"/>
      <c r="J86" s="98">
        <f t="shared" si="2"/>
        <v>50207.56</v>
      </c>
      <c r="K86" s="110"/>
      <c r="L86" s="179"/>
      <c r="M86" s="110"/>
      <c r="N86" s="110"/>
      <c r="O86" s="71" t="s">
        <v>108</v>
      </c>
    </row>
    <row r="87" spans="1:15" ht="18.75" customHeight="1" outlineLevel="1">
      <c r="A87" s="169" t="s">
        <v>27</v>
      </c>
      <c r="B87" s="170"/>
      <c r="C87" s="170"/>
      <c r="D87" s="170"/>
      <c r="E87" s="170"/>
      <c r="F87" s="170"/>
      <c r="G87" s="170"/>
      <c r="H87" s="170"/>
      <c r="I87" s="171"/>
      <c r="J87" s="8">
        <f t="shared" si="2"/>
        <v>0</v>
      </c>
      <c r="K87" s="110"/>
      <c r="L87" s="179"/>
      <c r="M87" s="110"/>
      <c r="N87" s="110"/>
      <c r="O87" s="71" t="s">
        <v>109</v>
      </c>
    </row>
    <row r="88" spans="1:15" ht="18.75" customHeight="1" outlineLevel="1">
      <c r="A88" s="169" t="s">
        <v>28</v>
      </c>
      <c r="B88" s="170"/>
      <c r="C88" s="170"/>
      <c r="D88" s="170"/>
      <c r="E88" s="170"/>
      <c r="F88" s="170"/>
      <c r="G88" s="170"/>
      <c r="H88" s="170"/>
      <c r="I88" s="171"/>
      <c r="J88" s="8">
        <f t="shared" si="2"/>
        <v>0</v>
      </c>
      <c r="K88" s="110"/>
      <c r="L88" s="179"/>
      <c r="M88" s="110"/>
      <c r="N88" s="110"/>
      <c r="O88" s="71" t="s">
        <v>110</v>
      </c>
    </row>
    <row r="89" spans="1:15" ht="18.75" customHeight="1" outlineLevel="1">
      <c r="A89" s="169" t="s">
        <v>29</v>
      </c>
      <c r="B89" s="170"/>
      <c r="C89" s="170"/>
      <c r="D89" s="170"/>
      <c r="E89" s="170"/>
      <c r="F89" s="170"/>
      <c r="G89" s="170"/>
      <c r="H89" s="170"/>
      <c r="I89" s="171"/>
      <c r="J89" s="8">
        <f t="shared" si="2"/>
        <v>0</v>
      </c>
      <c r="K89" s="110"/>
      <c r="L89" s="179"/>
      <c r="M89" s="110"/>
      <c r="N89" s="110"/>
      <c r="O89" s="71" t="s">
        <v>111</v>
      </c>
    </row>
    <row r="90" spans="1:15" ht="18.75" customHeight="1" outlineLevel="1">
      <c r="A90" s="169" t="s">
        <v>30</v>
      </c>
      <c r="B90" s="170"/>
      <c r="C90" s="170"/>
      <c r="D90" s="170"/>
      <c r="E90" s="170"/>
      <c r="F90" s="170"/>
      <c r="G90" s="170"/>
      <c r="H90" s="170"/>
      <c r="I90" s="171"/>
      <c r="J90" s="98">
        <f t="shared" si="2"/>
        <v>0</v>
      </c>
      <c r="K90" s="110"/>
      <c r="L90" s="179"/>
      <c r="M90" s="110"/>
      <c r="N90" s="110"/>
      <c r="O90" s="71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3" t="s">
        <v>48</v>
      </c>
      <c r="B93" s="163"/>
      <c r="C93" s="163"/>
      <c r="D93" s="166" t="s">
        <v>49</v>
      </c>
      <c r="E93" s="166"/>
      <c r="F93" s="10" t="s">
        <v>50</v>
      </c>
      <c r="G93" s="163" t="s">
        <v>51</v>
      </c>
      <c r="H93" s="163"/>
      <c r="I93" s="163"/>
      <c r="J93" s="163"/>
      <c r="K93" s="110"/>
      <c r="L93" s="110"/>
      <c r="M93" s="110"/>
      <c r="N93" s="110"/>
    </row>
    <row r="94" spans="1:15" outlineLevel="1">
      <c r="A94" s="167" t="str">
        <f>IF(VLOOKUP("эл",АО,3,FALSE)&gt;0,"Электроснабжение",0)</f>
        <v>Электроснабжение</v>
      </c>
      <c r="B94" s="167"/>
      <c r="C94" s="167"/>
      <c r="D94" s="165" t="str">
        <f>IF(VLOOKUP("эл",АО,3,FALSE)&gt;0,VLOOKUP("эл",АО,3,FALSE),0)</f>
        <v>Предоставляется</v>
      </c>
      <c r="E94" s="165"/>
      <c r="F94" s="13" t="str">
        <f>IF(VLOOKUP("эл",АО,3,FALSE)&gt;0,VLOOKUP("эл",АО,4,FALSE),0)</f>
        <v>кВт*ч</v>
      </c>
      <c r="G94" s="164">
        <f>VLOOKUP("эл",АО,5,FALSE)</f>
        <v>142092.69999999998</v>
      </c>
      <c r="H94" s="165"/>
      <c r="I94" s="165"/>
      <c r="J94" s="165"/>
      <c r="K94" s="1" t="str">
        <f>VLOOKUP("эл",АО,2,FALSE)</f>
        <v>Электроснабжение</v>
      </c>
      <c r="L94" s="180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112412.29862414006</v>
      </c>
      <c r="L95" s="180"/>
      <c r="O95" s="1" t="s">
        <v>113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133891.42000000004</v>
      </c>
      <c r="L96" s="180"/>
      <c r="O96" s="1" t="s">
        <v>114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8201.2799999999406</v>
      </c>
      <c r="L97" s="180"/>
      <c r="O97" s="1" t="s">
        <v>115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142092.69999999998</v>
      </c>
      <c r="L98" s="180"/>
      <c r="O98" s="1" t="s">
        <v>116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142092.69999999998</v>
      </c>
      <c r="L99" s="180"/>
      <c r="O99" s="1" t="s">
        <v>117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80"/>
      <c r="O100" s="1" t="s">
        <v>118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80"/>
      <c r="O101" s="1" t="s">
        <v>119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5" t="str">
        <f>IF(VLOOKUP("хвс",АО,3,FALSE)&gt;0,VLOOKUP("хвс",АО,3,FALSE),0)</f>
        <v>Предоставляется</v>
      </c>
      <c r="E102" s="165"/>
      <c r="F102" s="13" t="str">
        <f>IF(VLOOKUP("хвс",АО,3,FALSE)&gt;0,VLOOKUP("хвс",АО,4,FALSE),0)</f>
        <v>куб.м.</v>
      </c>
      <c r="G102" s="164">
        <f>VLOOKUP("хвс",АО,5,FALSE)</f>
        <v>91920.98000000001</v>
      </c>
      <c r="H102" s="165"/>
      <c r="I102" s="165"/>
      <c r="J102" s="165"/>
      <c r="L102" s="180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6128.6701363073116</v>
      </c>
      <c r="L103" s="180"/>
      <c r="O103" s="1" t="s">
        <v>122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84060.360000000015</v>
      </c>
      <c r="L104" s="180"/>
      <c r="O104" s="1" t="s">
        <v>123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7860.6199999999953</v>
      </c>
      <c r="L105" s="180"/>
      <c r="O105" s="1" t="s">
        <v>124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91920.98000000001</v>
      </c>
      <c r="L106" s="180"/>
      <c r="O106" s="1" t="s">
        <v>125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91920.98000000001</v>
      </c>
      <c r="L107" s="180"/>
      <c r="O107" s="1" t="s">
        <v>126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80"/>
      <c r="O108" s="1" t="s">
        <v>127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80"/>
      <c r="O109" s="1" t="s">
        <v>128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5" t="str">
        <f>IF(VLOOKUP("воо",АО,3,FALSE)&gt;0,VLOOKUP("воо",АО,3,FALSE),0)</f>
        <v>Предоставляется</v>
      </c>
      <c r="E110" s="165"/>
      <c r="F110" s="13" t="str">
        <f>IF(VLOOKUP("воо",АО,3,FALSE)&gt;0,VLOOKUP("воо",АО,4,FALSE),0)</f>
        <v>куб.м.</v>
      </c>
      <c r="G110" s="164">
        <f>VLOOKUP("воо",АО,5,FALSE)</f>
        <v>111755.21</v>
      </c>
      <c r="H110" s="165"/>
      <c r="I110" s="165"/>
      <c r="J110" s="165"/>
      <c r="L110" s="180"/>
    </row>
    <row r="111" spans="1:15" outlineLevel="2">
      <c r="A111" s="162" t="str">
        <f t="shared" ref="A111:A117" si="6">IF(VLOOKUP("воо",АО,3,FALSE)&gt;0,VLOOKUP(O111,АО,2,FALSE),0)</f>
        <v>Общий объем потребления, нат. показ.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6714.2043841844607</v>
      </c>
      <c r="L111" s="180"/>
      <c r="O111" s="1" t="s">
        <v>130</v>
      </c>
    </row>
    <row r="112" spans="1:15" ht="18.75" customHeight="1" outlineLevel="2">
      <c r="A112" s="162" t="str">
        <f t="shared" si="6"/>
        <v>Оплачено потребителями, руб.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101626.59</v>
      </c>
      <c r="L112" s="180"/>
      <c r="O112" s="1" t="s">
        <v>131</v>
      </c>
    </row>
    <row r="113" spans="1:15" ht="19.5" customHeight="1" outlineLevel="2">
      <c r="A113" s="162" t="str">
        <f t="shared" si="6"/>
        <v>Задолженность потребителей, руб.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10128.62000000001</v>
      </c>
      <c r="L113" s="180"/>
      <c r="O113" s="1" t="s">
        <v>132</v>
      </c>
    </row>
    <row r="114" spans="1:15" ht="33" customHeight="1" outlineLevel="2">
      <c r="A114" s="162" t="str">
        <f t="shared" si="6"/>
        <v>Начислено поставщиком (поставщиками) коммунального ресурса, руб.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111755.21</v>
      </c>
      <c r="L114" s="180"/>
      <c r="O114" s="1" t="s">
        <v>133</v>
      </c>
    </row>
    <row r="115" spans="1:15" ht="18.75" customHeight="1" outlineLevel="2">
      <c r="A115" s="162" t="str">
        <f t="shared" si="6"/>
        <v>Оплачено поставщику (поставщикам) коммунального ресурса, руб.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111755.21</v>
      </c>
      <c r="L115" s="180"/>
      <c r="O115" s="1" t="s">
        <v>134</v>
      </c>
    </row>
    <row r="116" spans="1:15" ht="33.75" customHeight="1" outlineLevel="2">
      <c r="A116" s="162" t="str">
        <f t="shared" si="6"/>
        <v>Задолженность перед поставщиком (поставщиками) коммунального ресурса, руб.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80"/>
      <c r="O116" s="1" t="s">
        <v>135</v>
      </c>
    </row>
    <row r="117" spans="1:15" ht="32.25" customHeight="1" outlineLevel="2">
      <c r="A117" s="162" t="str">
        <f t="shared" si="6"/>
        <v>Размер пени и штрафов, уплаченных поставщику (поставщикам) коммунального ресурса, руб.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80"/>
      <c r="O117" s="1" t="s">
        <v>136</v>
      </c>
    </row>
    <row r="118" spans="1:15" ht="32.25" customHeight="1" outlineLevel="1">
      <c r="A118" s="167" t="str">
        <f>IF(VLOOKUP("тко",АО,3,FALSE)&gt;0,"Обращение с ТКО",0)</f>
        <v>Обращение с ТКО</v>
      </c>
      <c r="B118" s="167"/>
      <c r="C118" s="167"/>
      <c r="D118" s="165" t="str">
        <f>IF(VLOOKUP("тко",АО,3,FALSE)&gt;0,VLOOKUP("тко",АО,3,FALSE),0)</f>
        <v>Предоставляется</v>
      </c>
      <c r="E118" s="165"/>
      <c r="F118" s="13" t="str">
        <f>IF(VLOOKUP("тко",АО,3,FALSE)&gt;0,VLOOKUP("тко",АО,4,FALSE),0)</f>
        <v>куб.м.</v>
      </c>
      <c r="G118" s="164">
        <f>VLOOKUP("тко",АО,5,FALSE)</f>
        <v>82289.880000000019</v>
      </c>
      <c r="H118" s="165"/>
      <c r="I118" s="165"/>
      <c r="J118" s="165"/>
      <c r="L118" s="48"/>
    </row>
    <row r="119" spans="1:15" ht="32.25" customHeight="1" outlineLevel="2">
      <c r="A119" s="162" t="str">
        <f t="shared" ref="A119:A125" si="8">IF(VLOOKUP("тко",АО,3,FALSE)&gt;0,VLOOKUP(O119,АО,2,FALSE),0)</f>
        <v>Общий объем потребления, нат. показ.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161.90989198008043</v>
      </c>
      <c r="L119" s="48"/>
      <c r="O119" s="1" t="s">
        <v>138</v>
      </c>
    </row>
    <row r="120" spans="1:15" ht="32.25" customHeight="1" outlineLevel="2">
      <c r="A120" s="162" t="str">
        <f t="shared" si="8"/>
        <v>Оплачено потребителями, руб.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76569.539999999964</v>
      </c>
      <c r="L120" s="48"/>
      <c r="O120" s="1" t="s">
        <v>139</v>
      </c>
    </row>
    <row r="121" spans="1:15" ht="32.25" customHeight="1" outlineLevel="2">
      <c r="A121" s="162" t="str">
        <f t="shared" si="8"/>
        <v>Задолженность потребителей, руб.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5720.3400000000547</v>
      </c>
      <c r="L121" s="48"/>
      <c r="O121" s="1" t="s">
        <v>140</v>
      </c>
    </row>
    <row r="122" spans="1:15" ht="32.25" customHeight="1" outlineLevel="2">
      <c r="A122" s="162" t="str">
        <f t="shared" si="8"/>
        <v>Начислено поставщиком (поставщиками) коммунального ресурса, руб.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82289.880000000019</v>
      </c>
      <c r="L122" s="48"/>
      <c r="O122" s="1" t="s">
        <v>141</v>
      </c>
    </row>
    <row r="123" spans="1:15" ht="32.25" customHeight="1" outlineLevel="2">
      <c r="A123" s="162" t="str">
        <f t="shared" si="8"/>
        <v>Оплачено поставщику (поставщикам) коммунального ресурса, руб.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82289.880000000019</v>
      </c>
      <c r="L123" s="48"/>
      <c r="O123" s="1" t="s">
        <v>142</v>
      </c>
    </row>
    <row r="124" spans="1:15" ht="32.25" customHeight="1" outlineLevel="2">
      <c r="A124" s="162" t="str">
        <f t="shared" si="8"/>
        <v>Задолженность перед поставщиком (поставщиками) коммунального ресурса, руб.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8"/>
      <c r="O124" s="1" t="s">
        <v>143</v>
      </c>
    </row>
    <row r="125" spans="1:15" ht="32.25" customHeight="1" outlineLevel="2">
      <c r="A125" s="162" t="str">
        <f t="shared" si="8"/>
        <v>Размер пени и штрафов, уплаченных поставщику (поставщикам) коммунального ресурса, руб.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8"/>
      <c r="O125" s="1" t="s">
        <v>144</v>
      </c>
    </row>
    <row r="126" spans="1:15" ht="32.25" hidden="1" customHeight="1" outlineLevel="1">
      <c r="A126" s="167">
        <f>IF(VLOOKUP("гвс",АО,3,FALSE)&gt;0,"Горячее водоснабжение",0)</f>
        <v>0</v>
      </c>
      <c r="B126" s="167"/>
      <c r="C126" s="167"/>
      <c r="D126" s="165">
        <f>IF(VLOOKUP("гвс",АО,3,FALSE)&gt;0,VLOOKUP("гвс",АО,3,FALSE),0)</f>
        <v>0</v>
      </c>
      <c r="E126" s="165"/>
      <c r="F126" s="13">
        <f>IF(VLOOKUP("гвс",АО,3,FALSE)&gt;0,VLOOKUP("гвс",АО,4,FALSE),0)</f>
        <v>0</v>
      </c>
      <c r="G126" s="164">
        <f>VLOOKUP("гвс",АО,5,FALSE)</f>
        <v>0</v>
      </c>
      <c r="H126" s="165"/>
      <c r="I126" s="165"/>
      <c r="J126" s="165"/>
      <c r="L126" s="48"/>
    </row>
    <row r="127" spans="1:15" ht="32.25" hidden="1" customHeight="1" outlineLevel="2">
      <c r="A127" s="162">
        <f t="shared" ref="A127:A133" si="10">IF(VLOOKUP("гвс",АО,3,FALSE)&gt;0,VLOOKUP(O127,АО,2,FALSE),0)</f>
        <v>0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0</v>
      </c>
      <c r="L127" s="48"/>
      <c r="O127" s="1" t="s">
        <v>146</v>
      </c>
    </row>
    <row r="128" spans="1:15" ht="32.25" hidden="1" customHeight="1" outlineLevel="2">
      <c r="A128" s="162">
        <f t="shared" si="10"/>
        <v>0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0</v>
      </c>
      <c r="L128" s="48"/>
      <c r="O128" s="1" t="s">
        <v>147</v>
      </c>
    </row>
    <row r="129" spans="1:15" ht="32.25" hidden="1" customHeight="1" outlineLevel="2">
      <c r="A129" s="162">
        <f t="shared" si="10"/>
        <v>0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0</v>
      </c>
      <c r="L129" s="48"/>
      <c r="O129" s="1" t="s">
        <v>148</v>
      </c>
    </row>
    <row r="130" spans="1:15" ht="32.25" hidden="1" customHeight="1" outlineLevel="2">
      <c r="A130" s="162">
        <f t="shared" si="10"/>
        <v>0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0</v>
      </c>
      <c r="L130" s="48"/>
      <c r="O130" s="1" t="s">
        <v>149</v>
      </c>
    </row>
    <row r="131" spans="1:15" ht="32.25" hidden="1" customHeight="1" outlineLevel="2">
      <c r="A131" s="162">
        <f t="shared" si="10"/>
        <v>0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0</v>
      </c>
      <c r="L131" s="48"/>
      <c r="O131" s="1" t="s">
        <v>150</v>
      </c>
    </row>
    <row r="132" spans="1:15" ht="32.25" hidden="1" customHeight="1" outlineLevel="2">
      <c r="A132" s="162">
        <f t="shared" si="10"/>
        <v>0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8"/>
      <c r="O132" s="1" t="s">
        <v>151</v>
      </c>
    </row>
    <row r="133" spans="1:15" ht="32.25" hidden="1" customHeight="1" outlineLevel="2">
      <c r="A133" s="162">
        <f t="shared" si="10"/>
        <v>0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5">
        <f>IF(VLOOKUP("отопление",АО,3,FALSE)&gt;0,VLOOKUP("отопление",АО,3,FALSE),0)</f>
        <v>0</v>
      </c>
      <c r="E134" s="165"/>
      <c r="F134" s="13">
        <f>IF(VLOOKUP("отопление",АО,3,FALSE)&gt;0,VLOOKUP("отопление",АО,4,FALSE),0)</f>
        <v>0</v>
      </c>
      <c r="G134" s="164">
        <f>VLOOKUP("отопление",АО,5,FALSE)</f>
        <v>0</v>
      </c>
      <c r="H134" s="165"/>
      <c r="I134" s="165"/>
      <c r="J134" s="165"/>
      <c r="L134" s="48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8"/>
      <c r="O141" s="1" t="s">
        <v>160</v>
      </c>
    </row>
    <row r="143" spans="1:15">
      <c r="A143" s="11" t="s">
        <v>44</v>
      </c>
    </row>
    <row r="144" spans="1:15" ht="18.75" customHeight="1" outlineLevel="1">
      <c r="A144" s="162" t="s">
        <v>45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170</v>
      </c>
    </row>
    <row r="145" spans="1:15" ht="18.75" customHeight="1" outlineLevel="1">
      <c r="A145" s="162" t="s">
        <v>46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6</v>
      </c>
      <c r="L145" s="15"/>
      <c r="O145" t="s">
        <v>171</v>
      </c>
    </row>
    <row r="146" spans="1:15" ht="30" customHeight="1" outlineLevel="1">
      <c r="A146" s="162" t="s">
        <v>173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73678.87</v>
      </c>
      <c r="O146" t="s">
        <v>172</v>
      </c>
    </row>
    <row r="149" spans="1:15" ht="52.5" customHeight="1">
      <c r="A149" s="158" t="s">
        <v>178</v>
      </c>
      <c r="B149" s="158"/>
      <c r="C149" s="158"/>
      <c r="D149" s="158"/>
      <c r="E149" s="158"/>
      <c r="F149" s="158"/>
      <c r="G149" s="158"/>
      <c r="H149" s="158"/>
      <c r="I149" s="158"/>
      <c r="J149" s="158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57" t="s">
        <v>186</v>
      </c>
      <c r="B154" s="157"/>
      <c r="C154" s="157"/>
      <c r="D154" s="157"/>
      <c r="E154" s="27">
        <f>ПТО!G1</f>
        <v>-136943.56</v>
      </c>
    </row>
    <row r="155" spans="1:15" ht="34.5" customHeight="1">
      <c r="A155" s="159" t="s">
        <v>188</v>
      </c>
      <c r="B155" s="159"/>
      <c r="C155" s="159"/>
      <c r="D155" s="159"/>
      <c r="E155" s="28">
        <f>J13</f>
        <v>107122.10400000001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19</v>
      </c>
      <c r="B157" s="160"/>
      <c r="C157" s="160"/>
      <c r="D157" s="160"/>
      <c r="E157" s="160"/>
      <c r="F157" s="160" t="s">
        <v>20</v>
      </c>
      <c r="G157" s="160"/>
      <c r="H157" s="20" t="s">
        <v>57</v>
      </c>
      <c r="I157" s="160" t="s">
        <v>21</v>
      </c>
      <c r="J157" s="160"/>
    </row>
    <row r="158" spans="1:15" ht="29.25" customHeight="1">
      <c r="A158" s="154" t="str">
        <f t="shared" ref="A158:A163" si="14">IF(N158&gt;0,N158,0)</f>
        <v xml:space="preserve">Техническое освидетельствование лифта. </v>
      </c>
      <c r="B158" s="154"/>
      <c r="C158" s="154"/>
      <c r="D158" s="154"/>
      <c r="E158" s="154"/>
      <c r="F158" s="155">
        <f t="shared" ref="F158:F163" si="15">IF(ISERROR(VLOOKUP(A158,$A$28:$J$72,6,FALSE)),0,VLOOKUP(A158,$A$28:$J$72,6,FALSE))</f>
        <v>8100</v>
      </c>
      <c r="G158" s="155"/>
      <c r="H158" s="24" t="str">
        <f t="shared" ref="H158:H187" si="16">VLOOKUP(A158,$A$28:$J$72,8,FALSE)</f>
        <v>ежегодно</v>
      </c>
      <c r="I158" s="156">
        <f t="shared" ref="I158:I161" si="17">VLOOKUP(A158,$A$28:$J$72,9,FALSE)</f>
        <v>1</v>
      </c>
      <c r="J158" s="156"/>
      <c r="M158" s="22" t="s">
        <v>72</v>
      </c>
      <c r="N158" s="1" t="str">
        <f t="array" ref="N158:N187">INDEX($O$43:$O$72,SMALL(IF($M$158=R43:R72,ROW(O43:O72)-42,""),ROW()-157))</f>
        <v xml:space="preserve">Техническое освидетельствование лифта. </v>
      </c>
    </row>
    <row r="159" spans="1:15" ht="28.5" customHeight="1">
      <c r="A159" s="154" t="str">
        <f t="shared" si="14"/>
        <v>Техническое обслуживание охранной сигнализации.</v>
      </c>
      <c r="B159" s="154"/>
      <c r="C159" s="154"/>
      <c r="D159" s="154"/>
      <c r="E159" s="154"/>
      <c r="F159" s="155">
        <f t="shared" si="15"/>
        <v>10500</v>
      </c>
      <c r="G159" s="155"/>
      <c r="H159" s="24" t="str">
        <f t="shared" si="16"/>
        <v>ежемесячно</v>
      </c>
      <c r="I159" s="156">
        <f t="shared" si="17"/>
        <v>12</v>
      </c>
      <c r="J159" s="156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4" t="str">
        <f t="shared" si="14"/>
        <v>Благоустройство придомовой территории (приобретение рассады и поливочного пистолета).</v>
      </c>
      <c r="B160" s="154"/>
      <c r="C160" s="154"/>
      <c r="D160" s="154"/>
      <c r="E160" s="154"/>
      <c r="F160" s="155">
        <f t="shared" si="15"/>
        <v>4960</v>
      </c>
      <c r="G160" s="155"/>
      <c r="H160" s="24" t="str">
        <f t="shared" si="16"/>
        <v>разово</v>
      </c>
      <c r="I160" s="156">
        <f t="shared" si="17"/>
        <v>1</v>
      </c>
      <c r="J160" s="156"/>
      <c r="M160" s="22" t="s">
        <v>72</v>
      </c>
      <c r="N160" s="1" t="str">
        <v>Благоустройство придомовой территории (приобретение рассады и поливочного пистолета).</v>
      </c>
    </row>
    <row r="161" spans="1:14" ht="28.5" customHeight="1">
      <c r="A161" s="154" t="str">
        <f>IF(N161&gt;0,N161,0)</f>
        <v>Механизированная уборка и вывоз снега с придомовой территории.</v>
      </c>
      <c r="B161" s="154"/>
      <c r="C161" s="154"/>
      <c r="D161" s="154"/>
      <c r="E161" s="154"/>
      <c r="F161" s="155">
        <f t="shared" si="15"/>
        <v>9917</v>
      </c>
      <c r="G161" s="155"/>
      <c r="H161" s="24" t="str">
        <f t="shared" si="16"/>
        <v>разово</v>
      </c>
      <c r="I161" s="156">
        <f t="shared" si="17"/>
        <v>1</v>
      </c>
      <c r="J161" s="156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hidden="1" customHeight="1">
      <c r="A162" s="154">
        <f t="shared" si="14"/>
        <v>0</v>
      </c>
      <c r="B162" s="154"/>
      <c r="C162" s="154"/>
      <c r="D162" s="154"/>
      <c r="E162" s="154"/>
      <c r="F162" s="155">
        <f t="shared" si="15"/>
        <v>0</v>
      </c>
      <c r="G162" s="155"/>
      <c r="H162" s="24" t="e">
        <f t="shared" si="16"/>
        <v>#N/A</v>
      </c>
      <c r="I162" s="156" t="e">
        <f>VLOOKUP(A162,$A$28:$J$72,9,FALSE)</f>
        <v>#N/A</v>
      </c>
      <c r="J162" s="156"/>
      <c r="M162" s="22" t="s">
        <v>72</v>
      </c>
      <c r="N162" s="1">
        <v>0</v>
      </c>
    </row>
    <row r="163" spans="1:14" ht="28.5" hidden="1" customHeight="1">
      <c r="A163" s="154">
        <f t="shared" si="14"/>
        <v>0</v>
      </c>
      <c r="B163" s="154"/>
      <c r="C163" s="154"/>
      <c r="D163" s="154"/>
      <c r="E163" s="154"/>
      <c r="F163" s="155">
        <f t="shared" si="15"/>
        <v>0</v>
      </c>
      <c r="G163" s="155"/>
      <c r="H163" s="24" t="e">
        <f t="shared" si="16"/>
        <v>#N/A</v>
      </c>
      <c r="I163" s="156" t="e">
        <f>VLOOKUP(A163,$A$28:$J$72,9,FALSE)</f>
        <v>#N/A</v>
      </c>
      <c r="J163" s="156"/>
      <c r="M163" s="22" t="s">
        <v>72</v>
      </c>
      <c r="N163" s="1">
        <v>0</v>
      </c>
    </row>
    <row r="164" spans="1:14" ht="28.5" hidden="1" customHeight="1">
      <c r="A164" s="154">
        <f t="shared" ref="A164:A187" si="18">IF(N164&gt;0,N164,0)</f>
        <v>0</v>
      </c>
      <c r="B164" s="154"/>
      <c r="C164" s="154"/>
      <c r="D164" s="154"/>
      <c r="E164" s="154"/>
      <c r="F164" s="155">
        <f t="shared" ref="F164:F187" si="19">IF(ISERROR(VLOOKUP(A164,$A$28:$J$72,6,FALSE)),0,VLOOKUP(A164,$A$28:$J$72,6,FALSE))</f>
        <v>0</v>
      </c>
      <c r="G164" s="155"/>
      <c r="H164" s="29" t="e">
        <f t="shared" si="16"/>
        <v>#N/A</v>
      </c>
      <c r="I164" s="156" t="e">
        <f t="shared" ref="I164:I187" si="20">VLOOKUP(A164,$A$28:$J$72,9,FALSE)</f>
        <v>#N/A</v>
      </c>
      <c r="J164" s="156"/>
      <c r="M164" s="22" t="s">
        <v>72</v>
      </c>
      <c r="N164" s="1">
        <v>0</v>
      </c>
    </row>
    <row r="165" spans="1:14" ht="28.5" hidden="1" customHeight="1">
      <c r="A165" s="154">
        <f t="shared" si="18"/>
        <v>0</v>
      </c>
      <c r="B165" s="154"/>
      <c r="C165" s="154"/>
      <c r="D165" s="154"/>
      <c r="E165" s="154"/>
      <c r="F165" s="155">
        <f t="shared" si="19"/>
        <v>0</v>
      </c>
      <c r="G165" s="155"/>
      <c r="H165" s="29" t="e">
        <f t="shared" si="16"/>
        <v>#N/A</v>
      </c>
      <c r="I165" s="156" t="e">
        <f t="shared" si="20"/>
        <v>#N/A</v>
      </c>
      <c r="J165" s="156"/>
      <c r="M165" s="22" t="s">
        <v>72</v>
      </c>
      <c r="N165" s="1">
        <v>0</v>
      </c>
    </row>
    <row r="166" spans="1:14" ht="28.5" hidden="1" customHeight="1">
      <c r="A166" s="154">
        <f t="shared" si="18"/>
        <v>0</v>
      </c>
      <c r="B166" s="154"/>
      <c r="C166" s="154"/>
      <c r="D166" s="154"/>
      <c r="E166" s="154"/>
      <c r="F166" s="155">
        <f t="shared" si="19"/>
        <v>0</v>
      </c>
      <c r="G166" s="155"/>
      <c r="H166" s="29" t="e">
        <f t="shared" si="16"/>
        <v>#N/A</v>
      </c>
      <c r="I166" s="156" t="e">
        <f t="shared" si="20"/>
        <v>#N/A</v>
      </c>
      <c r="J166" s="156"/>
      <c r="M166" s="22" t="s">
        <v>72</v>
      </c>
      <c r="N166" s="1">
        <v>0</v>
      </c>
    </row>
    <row r="167" spans="1:14" ht="28.5" hidden="1" customHeight="1">
      <c r="A167" s="154">
        <f t="shared" si="18"/>
        <v>0</v>
      </c>
      <c r="B167" s="154"/>
      <c r="C167" s="154"/>
      <c r="D167" s="154"/>
      <c r="E167" s="154"/>
      <c r="F167" s="155">
        <f t="shared" si="19"/>
        <v>0</v>
      </c>
      <c r="G167" s="155"/>
      <c r="H167" s="29" t="e">
        <f t="shared" si="16"/>
        <v>#N/A</v>
      </c>
      <c r="I167" s="156" t="e">
        <f t="shared" si="20"/>
        <v>#N/A</v>
      </c>
      <c r="J167" s="156"/>
      <c r="M167" s="22" t="s">
        <v>72</v>
      </c>
      <c r="N167" s="1">
        <v>0</v>
      </c>
    </row>
    <row r="168" spans="1:14" ht="28.5" hidden="1" customHeight="1">
      <c r="A168" s="154">
        <f t="shared" si="18"/>
        <v>0</v>
      </c>
      <c r="B168" s="154"/>
      <c r="C168" s="154"/>
      <c r="D168" s="154"/>
      <c r="E168" s="154"/>
      <c r="F168" s="155">
        <f t="shared" si="19"/>
        <v>0</v>
      </c>
      <c r="G168" s="155"/>
      <c r="H168" s="29" t="e">
        <f t="shared" si="16"/>
        <v>#N/A</v>
      </c>
      <c r="I168" s="156" t="e">
        <f t="shared" si="20"/>
        <v>#N/A</v>
      </c>
      <c r="J168" s="156"/>
      <c r="M168" s="22" t="s">
        <v>72</v>
      </c>
      <c r="N168" s="1">
        <v>0</v>
      </c>
    </row>
    <row r="169" spans="1:14" ht="28.5" hidden="1" customHeight="1">
      <c r="A169" s="154">
        <f t="shared" si="18"/>
        <v>0</v>
      </c>
      <c r="B169" s="154"/>
      <c r="C169" s="154"/>
      <c r="D169" s="154"/>
      <c r="E169" s="154"/>
      <c r="F169" s="155">
        <f t="shared" si="19"/>
        <v>0</v>
      </c>
      <c r="G169" s="155"/>
      <c r="H169" s="29" t="e">
        <f t="shared" si="16"/>
        <v>#N/A</v>
      </c>
      <c r="I169" s="156" t="e">
        <f t="shared" si="20"/>
        <v>#N/A</v>
      </c>
      <c r="J169" s="156"/>
      <c r="M169" s="22" t="s">
        <v>72</v>
      </c>
      <c r="N169" s="1">
        <v>0</v>
      </c>
    </row>
    <row r="170" spans="1:14" ht="28.5" hidden="1" customHeight="1">
      <c r="A170" s="154">
        <f t="shared" si="18"/>
        <v>0</v>
      </c>
      <c r="B170" s="154"/>
      <c r="C170" s="154"/>
      <c r="D170" s="154"/>
      <c r="E170" s="154"/>
      <c r="F170" s="155">
        <f t="shared" si="19"/>
        <v>0</v>
      </c>
      <c r="G170" s="155"/>
      <c r="H170" s="29" t="e">
        <f t="shared" si="16"/>
        <v>#N/A</v>
      </c>
      <c r="I170" s="156" t="e">
        <f t="shared" si="20"/>
        <v>#N/A</v>
      </c>
      <c r="J170" s="156"/>
      <c r="M170" s="22" t="s">
        <v>72</v>
      </c>
      <c r="N170" s="1">
        <v>0</v>
      </c>
    </row>
    <row r="171" spans="1:14" ht="28.5" hidden="1" customHeight="1">
      <c r="A171" s="154">
        <f t="shared" si="18"/>
        <v>0</v>
      </c>
      <c r="B171" s="154"/>
      <c r="C171" s="154"/>
      <c r="D171" s="154"/>
      <c r="E171" s="154"/>
      <c r="F171" s="155">
        <f t="shared" si="19"/>
        <v>0</v>
      </c>
      <c r="G171" s="155"/>
      <c r="H171" s="29" t="e">
        <f t="shared" si="16"/>
        <v>#N/A</v>
      </c>
      <c r="I171" s="156" t="e">
        <f t="shared" si="20"/>
        <v>#N/A</v>
      </c>
      <c r="J171" s="156"/>
      <c r="M171" s="22" t="s">
        <v>72</v>
      </c>
      <c r="N171" s="1">
        <v>0</v>
      </c>
    </row>
    <row r="172" spans="1:14" ht="28.5" hidden="1" customHeight="1">
      <c r="A172" s="154">
        <f t="shared" si="18"/>
        <v>0</v>
      </c>
      <c r="B172" s="154"/>
      <c r="C172" s="154"/>
      <c r="D172" s="154"/>
      <c r="E172" s="154"/>
      <c r="F172" s="155">
        <f t="shared" si="19"/>
        <v>0</v>
      </c>
      <c r="G172" s="155"/>
      <c r="H172" s="29" t="e">
        <f t="shared" si="16"/>
        <v>#N/A</v>
      </c>
      <c r="I172" s="156" t="e">
        <f t="shared" si="20"/>
        <v>#N/A</v>
      </c>
      <c r="J172" s="156"/>
      <c r="M172" s="22" t="s">
        <v>72</v>
      </c>
      <c r="N172" s="1">
        <v>0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5">
        <f t="shared" si="19"/>
        <v>0</v>
      </c>
      <c r="G173" s="155"/>
      <c r="H173" s="29" t="e">
        <f t="shared" si="16"/>
        <v>#N/A</v>
      </c>
      <c r="I173" s="156" t="e">
        <f t="shared" si="20"/>
        <v>#N/A</v>
      </c>
      <c r="J173" s="156"/>
      <c r="M173" s="22" t="s">
        <v>72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5">
        <f t="shared" si="19"/>
        <v>0</v>
      </c>
      <c r="G174" s="155"/>
      <c r="H174" s="29" t="e">
        <f t="shared" si="16"/>
        <v>#N/A</v>
      </c>
      <c r="I174" s="156" t="e">
        <f t="shared" si="20"/>
        <v>#N/A</v>
      </c>
      <c r="J174" s="156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5">
        <f t="shared" si="19"/>
        <v>0</v>
      </c>
      <c r="G175" s="155"/>
      <c r="H175" s="29" t="e">
        <f t="shared" si="16"/>
        <v>#N/A</v>
      </c>
      <c r="I175" s="156" t="e">
        <f t="shared" si="20"/>
        <v>#N/A</v>
      </c>
      <c r="J175" s="156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5">
        <f t="shared" si="19"/>
        <v>0</v>
      </c>
      <c r="G176" s="155"/>
      <c r="H176" s="29" t="e">
        <f t="shared" si="16"/>
        <v>#N/A</v>
      </c>
      <c r="I176" s="156" t="e">
        <f t="shared" si="20"/>
        <v>#N/A</v>
      </c>
      <c r="J176" s="156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5">
        <f t="shared" si="19"/>
        <v>0</v>
      </c>
      <c r="G177" s="155"/>
      <c r="H177" s="29" t="e">
        <f t="shared" si="16"/>
        <v>#N/A</v>
      </c>
      <c r="I177" s="156" t="e">
        <f t="shared" si="20"/>
        <v>#N/A</v>
      </c>
      <c r="J177" s="156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5">
        <f t="shared" si="19"/>
        <v>0</v>
      </c>
      <c r="G178" s="155"/>
      <c r="H178" s="29" t="e">
        <f t="shared" si="16"/>
        <v>#N/A</v>
      </c>
      <c r="I178" s="156" t="e">
        <f t="shared" si="20"/>
        <v>#N/A</v>
      </c>
      <c r="J178" s="156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5">
        <f t="shared" si="19"/>
        <v>0</v>
      </c>
      <c r="G179" s="155"/>
      <c r="H179" s="29" t="e">
        <f t="shared" si="16"/>
        <v>#N/A</v>
      </c>
      <c r="I179" s="156" t="e">
        <f t="shared" si="20"/>
        <v>#N/A</v>
      </c>
      <c r="J179" s="156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5">
        <f t="shared" si="19"/>
        <v>0</v>
      </c>
      <c r="G180" s="155"/>
      <c r="H180" s="29" t="e">
        <f t="shared" si="16"/>
        <v>#N/A</v>
      </c>
      <c r="I180" s="156" t="e">
        <f t="shared" si="20"/>
        <v>#N/A</v>
      </c>
      <c r="J180" s="156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5">
        <f t="shared" si="19"/>
        <v>0</v>
      </c>
      <c r="G181" s="155"/>
      <c r="H181" s="29" t="e">
        <f t="shared" si="16"/>
        <v>#N/A</v>
      </c>
      <c r="I181" s="156" t="e">
        <f t="shared" si="20"/>
        <v>#N/A</v>
      </c>
      <c r="J181" s="156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5">
        <f t="shared" si="19"/>
        <v>0</v>
      </c>
      <c r="G182" s="155"/>
      <c r="H182" s="29" t="e">
        <f t="shared" si="16"/>
        <v>#N/A</v>
      </c>
      <c r="I182" s="156" t="e">
        <f t="shared" si="20"/>
        <v>#N/A</v>
      </c>
      <c r="J182" s="156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5">
        <f t="shared" si="19"/>
        <v>0</v>
      </c>
      <c r="G183" s="155"/>
      <c r="H183" s="29" t="e">
        <f t="shared" si="16"/>
        <v>#N/A</v>
      </c>
      <c r="I183" s="156" t="e">
        <f t="shared" si="20"/>
        <v>#N/A</v>
      </c>
      <c r="J183" s="156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5">
        <f t="shared" si="19"/>
        <v>0</v>
      </c>
      <c r="G184" s="155"/>
      <c r="H184" s="29" t="e">
        <f t="shared" si="16"/>
        <v>#N/A</v>
      </c>
      <c r="I184" s="156" t="e">
        <f t="shared" si="20"/>
        <v>#N/A</v>
      </c>
      <c r="J184" s="156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5">
        <f t="shared" si="19"/>
        <v>0</v>
      </c>
      <c r="G185" s="155"/>
      <c r="H185" s="29" t="e">
        <f t="shared" si="16"/>
        <v>#N/A</v>
      </c>
      <c r="I185" s="156" t="e">
        <f t="shared" si="20"/>
        <v>#N/A</v>
      </c>
      <c r="J185" s="156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5">
        <f t="shared" si="19"/>
        <v>0</v>
      </c>
      <c r="G186" s="155"/>
      <c r="H186" s="29" t="e">
        <f t="shared" si="16"/>
        <v>#N/A</v>
      </c>
      <c r="I186" s="156" t="e">
        <f t="shared" si="20"/>
        <v>#N/A</v>
      </c>
      <c r="J186" s="156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5">
        <f t="shared" si="19"/>
        <v>0</v>
      </c>
      <c r="G187" s="155"/>
      <c r="H187" s="29" t="e">
        <f t="shared" si="16"/>
        <v>#N/A</v>
      </c>
      <c r="I187" s="156" t="e">
        <f t="shared" si="20"/>
        <v>#N/A</v>
      </c>
      <c r="J187" s="156"/>
      <c r="M187" s="22" t="s">
        <v>72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57" t="s">
        <v>189</v>
      </c>
      <c r="B190" s="157"/>
      <c r="C190" s="157"/>
      <c r="D190" s="157"/>
      <c r="E190" s="27">
        <f>SUM(F158:G187)</f>
        <v>33477</v>
      </c>
    </row>
    <row r="191" spans="1:14" ht="51.75" customHeight="1">
      <c r="A191" s="157" t="s">
        <v>190</v>
      </c>
      <c r="B191" s="157"/>
      <c r="C191" s="157"/>
      <c r="D191" s="157"/>
      <c r="E191" s="27">
        <f>E190+E154-E155</f>
        <v>-210588.66399999999</v>
      </c>
    </row>
    <row r="192" spans="1:14">
      <c r="A192" s="105" t="s">
        <v>174</v>
      </c>
    </row>
    <row r="193" spans="1:10" ht="62.25" customHeight="1">
      <c r="A193" s="182" t="s">
        <v>187</v>
      </c>
      <c r="B193" s="182"/>
      <c r="C193" s="182"/>
      <c r="D193" s="182"/>
      <c r="E193" s="182"/>
      <c r="F193" s="182"/>
      <c r="G193" s="182"/>
      <c r="H193" s="182"/>
      <c r="I193" s="182"/>
      <c r="J193" s="182"/>
    </row>
    <row r="194" spans="1:10">
      <c r="A194" s="181" t="str">
        <f>ПТО!F12</f>
        <v xml:space="preserve">  -  поверка (замена) манометров и термометров</v>
      </c>
      <c r="B194" s="181"/>
      <c r="C194" s="181"/>
      <c r="D194" s="181"/>
      <c r="E194" s="181"/>
      <c r="F194" s="181"/>
      <c r="G194" s="181"/>
      <c r="H194" s="50">
        <f>ПТО!G12</f>
        <v>1200</v>
      </c>
      <c r="I194" s="51" t="s">
        <v>74</v>
      </c>
    </row>
    <row r="195" spans="1:10" ht="18.75" customHeight="1">
      <c r="A195" s="181" t="str">
        <f>ПТО!F13</f>
        <v xml:space="preserve">  -  техническое освидетельствование лифта</v>
      </c>
      <c r="B195" s="181"/>
      <c r="C195" s="181"/>
      <c r="D195" s="181"/>
      <c r="E195" s="181"/>
      <c r="F195" s="181"/>
      <c r="G195" s="181"/>
      <c r="H195" s="50">
        <f>ПТО!G13</f>
        <v>8100</v>
      </c>
      <c r="I195" s="51" t="s">
        <v>74</v>
      </c>
    </row>
    <row r="196" spans="1:10" ht="18.75" customHeight="1">
      <c r="A196" s="181" t="str">
        <f>ПТО!F14</f>
        <v xml:space="preserve">  -  техническое обслуживание охранной сигнализации</v>
      </c>
      <c r="B196" s="181"/>
      <c r="C196" s="181"/>
      <c r="D196" s="181"/>
      <c r="E196" s="181"/>
      <c r="F196" s="181"/>
      <c r="G196" s="181"/>
      <c r="H196" s="50">
        <f>ПТО!G14</f>
        <v>10500</v>
      </c>
      <c r="I196" s="51" t="s">
        <v>74</v>
      </c>
    </row>
    <row r="197" spans="1:10" ht="18.75" customHeight="1">
      <c r="A197" s="181" t="str">
        <f>ПТО!F15</f>
        <v xml:space="preserve">  -  ремонт подъезда</v>
      </c>
      <c r="B197" s="181"/>
      <c r="C197" s="181"/>
      <c r="D197" s="181"/>
      <c r="E197" s="181"/>
      <c r="F197" s="181"/>
      <c r="G197" s="181"/>
      <c r="H197" s="50">
        <f>ПТО!G15</f>
        <v>300000</v>
      </c>
      <c r="I197" s="51" t="s">
        <v>74</v>
      </c>
    </row>
    <row r="198" spans="1:10" ht="35.25" customHeight="1">
      <c r="A198" s="181" t="str">
        <f>ПТО!F16</f>
        <v xml:space="preserve">  -  механизированная уборка и вывоз снега с придомовой территории</v>
      </c>
      <c r="B198" s="181"/>
      <c r="C198" s="181"/>
      <c r="D198" s="181"/>
      <c r="E198" s="181"/>
      <c r="F198" s="181"/>
      <c r="G198" s="181"/>
      <c r="H198" s="50">
        <f>ПТО!G16</f>
        <v>10000</v>
      </c>
      <c r="I198" s="53" t="s">
        <v>74</v>
      </c>
    </row>
    <row r="199" spans="1:10" ht="18.75" hidden="1" customHeight="1">
      <c r="A199" s="181">
        <f>ПТО!F17</f>
        <v>0</v>
      </c>
      <c r="B199" s="181"/>
      <c r="C199" s="181"/>
      <c r="D199" s="181"/>
      <c r="E199" s="181"/>
      <c r="F199" s="181"/>
      <c r="G199" s="181"/>
      <c r="H199" s="50">
        <f>ПТО!G17</f>
        <v>0</v>
      </c>
      <c r="I199" s="51" t="s">
        <v>74</v>
      </c>
    </row>
    <row r="200" spans="1:10" hidden="1">
      <c r="A200" s="181">
        <f>ПТО!F18</f>
        <v>0</v>
      </c>
      <c r="B200" s="181"/>
      <c r="C200" s="181"/>
      <c r="D200" s="181"/>
      <c r="E200" s="181"/>
      <c r="F200" s="181"/>
      <c r="G200" s="181"/>
      <c r="H200" s="50">
        <f>ПТО!G18</f>
        <v>0</v>
      </c>
      <c r="I200" s="51" t="s">
        <v>74</v>
      </c>
    </row>
    <row r="201" spans="1:10" hidden="1">
      <c r="A201" s="181">
        <f>ПТО!F19</f>
        <v>0</v>
      </c>
      <c r="B201" s="181"/>
      <c r="C201" s="181"/>
      <c r="D201" s="181"/>
      <c r="E201" s="181"/>
      <c r="F201" s="181"/>
      <c r="G201" s="181"/>
      <c r="H201" s="50">
        <f>ПТО!G19</f>
        <v>0</v>
      </c>
      <c r="I201" s="51" t="s">
        <v>74</v>
      </c>
    </row>
    <row r="202" spans="1:10" hidden="1">
      <c r="A202" s="181">
        <f>ПТО!F20</f>
        <v>0</v>
      </c>
      <c r="B202" s="181"/>
      <c r="C202" s="181"/>
      <c r="D202" s="181"/>
      <c r="E202" s="181"/>
      <c r="F202" s="181"/>
      <c r="G202" s="181"/>
      <c r="H202" s="50">
        <f>ПТО!G20</f>
        <v>0</v>
      </c>
      <c r="I202" s="51" t="s">
        <v>74</v>
      </c>
    </row>
    <row r="203" spans="1:10" hidden="1">
      <c r="A203" s="181">
        <f>ПТО!F21</f>
        <v>0</v>
      </c>
      <c r="B203" s="181"/>
      <c r="C203" s="181"/>
      <c r="D203" s="181"/>
      <c r="E203" s="181"/>
      <c r="F203" s="181"/>
      <c r="G203" s="181"/>
      <c r="H203" s="50">
        <f>ПТО!G21</f>
        <v>0</v>
      </c>
      <c r="I203" s="51" t="s">
        <v>74</v>
      </c>
    </row>
    <row r="204" spans="1:10" hidden="1">
      <c r="A204" s="181">
        <f>ПТО!F22</f>
        <v>0</v>
      </c>
      <c r="B204" s="181"/>
      <c r="C204" s="181"/>
      <c r="D204" s="181"/>
      <c r="E204" s="181"/>
      <c r="F204" s="181"/>
      <c r="G204" s="181"/>
      <c r="H204" s="50">
        <f>ПТО!G22</f>
        <v>0</v>
      </c>
      <c r="I204" s="51" t="s">
        <v>74</v>
      </c>
    </row>
    <row r="205" spans="1:10" hidden="1">
      <c r="A205" s="181">
        <f>ПТО!F23</f>
        <v>0</v>
      </c>
      <c r="B205" s="181"/>
      <c r="C205" s="181"/>
      <c r="D205" s="181"/>
      <c r="E205" s="181"/>
      <c r="F205" s="181"/>
      <c r="G205" s="181"/>
      <c r="H205" s="50">
        <f>ПТО!G23</f>
        <v>0</v>
      </c>
      <c r="I205" s="51" t="s">
        <v>74</v>
      </c>
    </row>
    <row r="206" spans="1:10" hidden="1">
      <c r="A206" s="181">
        <f>ПТО!F24</f>
        <v>0</v>
      </c>
      <c r="B206" s="181"/>
      <c r="C206" s="181"/>
      <c r="D206" s="181"/>
      <c r="E206" s="181"/>
      <c r="F206" s="181"/>
      <c r="G206" s="181"/>
      <c r="H206" s="50">
        <f>ПТО!G24</f>
        <v>0</v>
      </c>
      <c r="I206" s="51" t="s">
        <v>74</v>
      </c>
    </row>
    <row r="207" spans="1:10" hidden="1">
      <c r="A207" s="181">
        <f>ПТО!F25</f>
        <v>0</v>
      </c>
      <c r="B207" s="181"/>
      <c r="C207" s="181"/>
      <c r="D207" s="181"/>
      <c r="E207" s="181"/>
      <c r="F207" s="181"/>
      <c r="G207" s="181"/>
      <c r="H207" s="50">
        <f>ПТО!G25</f>
        <v>0</v>
      </c>
      <c r="I207" s="51" t="s">
        <v>74</v>
      </c>
    </row>
    <row r="208" spans="1:10" hidden="1">
      <c r="A208" s="181">
        <f>ПТО!F26</f>
        <v>0</v>
      </c>
      <c r="B208" s="181"/>
      <c r="C208" s="181"/>
      <c r="D208" s="181"/>
      <c r="E208" s="181"/>
      <c r="F208" s="181"/>
      <c r="G208" s="181"/>
      <c r="H208" s="50">
        <f>ПТО!G26</f>
        <v>0</v>
      </c>
      <c r="I208" s="51" t="s">
        <v>74</v>
      </c>
    </row>
    <row r="209" spans="1:9" hidden="1">
      <c r="A209" s="181">
        <f>ПТО!F27</f>
        <v>0</v>
      </c>
      <c r="B209" s="181"/>
      <c r="C209" s="181"/>
      <c r="D209" s="181"/>
      <c r="E209" s="181"/>
      <c r="F209" s="181"/>
      <c r="G209" s="181"/>
      <c r="H209" s="50">
        <f>ПТО!G27</f>
        <v>0</v>
      </c>
      <c r="I209" s="51" t="s">
        <v>74</v>
      </c>
    </row>
    <row r="210" spans="1:9" hidden="1">
      <c r="A210" s="181">
        <f>ПТО!F28</f>
        <v>0</v>
      </c>
      <c r="B210" s="181"/>
      <c r="C210" s="181"/>
      <c r="D210" s="181"/>
      <c r="E210" s="181"/>
      <c r="F210" s="181"/>
      <c r="G210" s="181"/>
      <c r="H210" s="50">
        <f>ПТО!G28</f>
        <v>0</v>
      </c>
      <c r="I210" s="51" t="s">
        <v>74</v>
      </c>
    </row>
    <row r="211" spans="1:9" hidden="1">
      <c r="A211" s="181">
        <f>ПТО!F29</f>
        <v>0</v>
      </c>
      <c r="B211" s="181"/>
      <c r="C211" s="181"/>
      <c r="D211" s="181"/>
      <c r="E211" s="181"/>
      <c r="F211" s="181"/>
      <c r="G211" s="181"/>
      <c r="H211" s="50">
        <f>ПТО!G29</f>
        <v>0</v>
      </c>
      <c r="I211" s="51" t="s">
        <v>74</v>
      </c>
    </row>
    <row r="212" spans="1:9" hidden="1">
      <c r="A212" s="181">
        <f>ПТО!F30</f>
        <v>0</v>
      </c>
      <c r="B212" s="181"/>
      <c r="C212" s="181"/>
      <c r="D212" s="181"/>
      <c r="E212" s="181"/>
      <c r="F212" s="181"/>
      <c r="G212" s="181"/>
      <c r="H212" s="50">
        <f>ПТО!G30</f>
        <v>0</v>
      </c>
      <c r="I212" s="51" t="s">
        <v>74</v>
      </c>
    </row>
    <row r="213" spans="1:9" hidden="1">
      <c r="A213" s="181">
        <f>ПТО!F31</f>
        <v>0</v>
      </c>
      <c r="B213" s="181"/>
      <c r="C213" s="181"/>
      <c r="D213" s="181"/>
      <c r="E213" s="181"/>
      <c r="F213" s="181"/>
      <c r="G213" s="181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329800</v>
      </c>
      <c r="I214" s="57" t="s">
        <v>77</v>
      </c>
    </row>
  </sheetData>
  <sheetProtection algorithmName="SHA-512" hashValue="dE2tp6zzlIKrn4Oqdygo3C9lu4XsDWXu0rZDHtUBrmkWzvrtPo5WUUdONWFvmhUxpp8nBEDI52iNgr+T8kg0tA==" saltValue="ABuj4tBrI6mulGK9IfZ8y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11" sqref="B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186</v>
      </c>
      <c r="G1" s="102">
        <f>-136943.56</f>
        <v>-136943.56</v>
      </c>
    </row>
    <row r="2" spans="1:12" ht="18.75" customHeight="1">
      <c r="A2" s="146" t="s">
        <v>179</v>
      </c>
      <c r="B2" s="147" t="s">
        <v>182</v>
      </c>
      <c r="C2" s="147">
        <v>1</v>
      </c>
      <c r="D2" s="148">
        <v>8100</v>
      </c>
      <c r="E2" s="124" t="s">
        <v>194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9" t="s">
        <v>180</v>
      </c>
      <c r="B3" s="147" t="s">
        <v>181</v>
      </c>
      <c r="C3" s="150">
        <v>12</v>
      </c>
      <c r="D3" s="151">
        <f>1750/2*12</f>
        <v>10500</v>
      </c>
      <c r="E3" s="124" t="s">
        <v>195</v>
      </c>
      <c r="F3" s="30"/>
      <c r="G3" s="30"/>
      <c r="L3" s="33" t="str">
        <f t="shared" si="0"/>
        <v>ТР</v>
      </c>
    </row>
    <row r="4" spans="1:12" ht="18.75" customHeight="1">
      <c r="A4" s="125" t="s">
        <v>198</v>
      </c>
      <c r="B4" s="126" t="s">
        <v>191</v>
      </c>
      <c r="C4" s="126">
        <v>1</v>
      </c>
      <c r="D4" s="128">
        <v>4960</v>
      </c>
      <c r="E4" s="123" t="s">
        <v>192</v>
      </c>
      <c r="F4" s="30"/>
      <c r="G4" s="30"/>
      <c r="L4" s="33" t="str">
        <f t="shared" si="0"/>
        <v>ТР</v>
      </c>
    </row>
    <row r="5" spans="1:12" ht="18.75" customHeight="1">
      <c r="A5" s="139" t="s">
        <v>196</v>
      </c>
      <c r="B5" s="152" t="s">
        <v>191</v>
      </c>
      <c r="C5" s="140">
        <v>1</v>
      </c>
      <c r="D5" s="141">
        <v>9917</v>
      </c>
      <c r="E5" s="153" t="s">
        <v>197</v>
      </c>
      <c r="F5" s="45"/>
      <c r="G5" s="45"/>
      <c r="K5" s="47"/>
      <c r="L5" s="33" t="str">
        <f t="shared" si="0"/>
        <v>ТР</v>
      </c>
    </row>
    <row r="6" spans="1:12" ht="18.75" customHeight="1">
      <c r="A6" s="125"/>
      <c r="B6" s="126"/>
      <c r="C6" s="127"/>
      <c r="D6" s="128"/>
      <c r="E6" s="123"/>
      <c r="F6" s="45"/>
      <c r="G6" s="45"/>
      <c r="K6" s="47"/>
      <c r="L6" s="33">
        <f t="shared" si="0"/>
        <v>0</v>
      </c>
    </row>
    <row r="7" spans="1:12" ht="18.75" customHeight="1">
      <c r="A7" s="125"/>
      <c r="B7" s="126"/>
      <c r="C7" s="127"/>
      <c r="D7" s="128"/>
      <c r="E7" s="123"/>
      <c r="F7" s="46"/>
      <c r="G7" s="46"/>
      <c r="K7" s="47"/>
      <c r="L7" s="33">
        <f t="shared" si="0"/>
        <v>0</v>
      </c>
    </row>
    <row r="8" spans="1:12" ht="18.75" customHeight="1">
      <c r="A8" s="125"/>
      <c r="B8" s="126"/>
      <c r="C8" s="127"/>
      <c r="D8" s="128"/>
      <c r="E8" s="123"/>
      <c r="F8" s="46"/>
      <c r="G8" s="46"/>
      <c r="K8" s="44"/>
      <c r="L8" s="33">
        <f t="shared" si="0"/>
        <v>0</v>
      </c>
    </row>
    <row r="9" spans="1:12">
      <c r="A9" s="125"/>
      <c r="B9" s="126"/>
      <c r="C9" s="127"/>
      <c r="D9" s="128"/>
      <c r="E9" s="123"/>
      <c r="F9" s="45"/>
      <c r="G9" s="45"/>
      <c r="K9" s="44"/>
      <c r="L9" s="33">
        <f t="shared" si="0"/>
        <v>0</v>
      </c>
    </row>
    <row r="10" spans="1:12">
      <c r="A10" s="119"/>
      <c r="B10" s="120"/>
      <c r="C10" s="121"/>
      <c r="D10" s="122"/>
      <c r="E10" s="123"/>
      <c r="L10" s="33">
        <f t="shared" si="0"/>
        <v>0</v>
      </c>
    </row>
    <row r="11" spans="1:12" ht="94.5">
      <c r="A11" s="131"/>
      <c r="B11" s="132"/>
      <c r="C11" s="127"/>
      <c r="D11" s="133"/>
      <c r="E11" s="124"/>
      <c r="F11" s="112" t="s">
        <v>187</v>
      </c>
      <c r="G11" s="112"/>
      <c r="L11" s="33">
        <f t="shared" si="0"/>
        <v>0</v>
      </c>
    </row>
    <row r="12" spans="1:12" ht="31.5">
      <c r="A12" s="134"/>
      <c r="B12" s="135"/>
      <c r="C12" s="43"/>
      <c r="D12" s="47"/>
      <c r="E12" s="124"/>
      <c r="F12" s="113" t="s">
        <v>73</v>
      </c>
      <c r="G12" s="114">
        <v>1200</v>
      </c>
      <c r="L12" s="33">
        <f t="shared" si="0"/>
        <v>0</v>
      </c>
    </row>
    <row r="13" spans="1:12" ht="31.5">
      <c r="A13" s="136"/>
      <c r="B13" s="137"/>
      <c r="C13" s="43"/>
      <c r="D13" s="122"/>
      <c r="E13" s="124"/>
      <c r="F13" s="113" t="s">
        <v>75</v>
      </c>
      <c r="G13" s="114">
        <v>8100</v>
      </c>
      <c r="L13" s="33">
        <f t="shared" si="0"/>
        <v>0</v>
      </c>
    </row>
    <row r="14" spans="1:12" ht="31.5">
      <c r="A14" s="129"/>
      <c r="B14" s="130"/>
      <c r="C14" s="126"/>
      <c r="D14" s="47"/>
      <c r="E14" s="124"/>
      <c r="F14" s="113" t="s">
        <v>185</v>
      </c>
      <c r="G14" s="114">
        <f>1750/2*12</f>
        <v>10500</v>
      </c>
      <c r="L14" s="33">
        <f t="shared" si="0"/>
        <v>0</v>
      </c>
    </row>
    <row r="15" spans="1:12" ht="15.75">
      <c r="A15" s="129"/>
      <c r="B15" s="130"/>
      <c r="C15" s="126"/>
      <c r="D15" s="47"/>
      <c r="E15" s="124"/>
      <c r="F15" s="113" t="s">
        <v>184</v>
      </c>
      <c r="G15" s="114">
        <v>300000</v>
      </c>
      <c r="L15" s="33">
        <f t="shared" si="0"/>
        <v>0</v>
      </c>
    </row>
    <row r="16" spans="1:12" ht="31.5">
      <c r="A16" s="30"/>
      <c r="B16" s="124"/>
      <c r="C16" s="124"/>
      <c r="D16" s="124"/>
      <c r="E16" s="124"/>
      <c r="F16" s="113" t="s">
        <v>193</v>
      </c>
      <c r="G16" s="145">
        <v>10000</v>
      </c>
      <c r="L16" s="33">
        <f t="shared" si="0"/>
        <v>0</v>
      </c>
    </row>
    <row r="17" spans="1:12" ht="15.75">
      <c r="A17" s="30"/>
      <c r="F17" s="138"/>
      <c r="G17" s="115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69154.8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69154.8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90172.44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90172.44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46781.16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46781.16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27119.52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27119.52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9039.84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9039.84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50397.120000000003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50397.120000000003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54013.08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54013.08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43"/>
      <c r="C47" s="142"/>
      <c r="D47" s="49"/>
      <c r="E47" s="143">
        <v>582.9</v>
      </c>
      <c r="F47" s="143">
        <v>311.8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Nz3tZa8l7JZo3vUst8lzvr0l/AgCoGqMaTzDlzIHGjyjzmT28rYof3NUTMYRJ6+MbYiVuIFab43+2SXRbWE4kw==" saltValue="wkoJjUv95orTh/8bxWrxS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183</v>
      </c>
      <c r="F1" s="61">
        <v>1883.3</v>
      </c>
    </row>
    <row r="2" spans="1:10" ht="15.75" customHeight="1">
      <c r="A2" s="71" t="s">
        <v>82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83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4</v>
      </c>
      <c r="C4" s="84">
        <v>171760.72400000005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5</v>
      </c>
      <c r="C5" s="80">
        <f>SUM(C6:C8)</f>
        <v>453799.96799999994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6</v>
      </c>
      <c r="C6" s="84">
        <f>(14.25+1.09)*12*F1</f>
        <v>346677.86399999994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7</v>
      </c>
      <c r="C7" s="84">
        <f>F1*4.74*12</f>
        <v>107122.10400000001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9</v>
      </c>
      <c r="C9" s="80">
        <f>SUM(C10:C14)</f>
        <v>432768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10</v>
      </c>
      <c r="C10" s="84">
        <v>432768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15</v>
      </c>
      <c r="C15" s="80">
        <f>C9</f>
        <v>432768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18</v>
      </c>
      <c r="C18" s="80">
        <f>IF(C16&gt;0,0,IF(C4&gt;0,C4+C5-C9,C5-C2-C9))</f>
        <v>192792.69200000004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5"/>
      <c r="N20" s="63"/>
    </row>
    <row r="21" spans="1:15" ht="15.75" customHeight="1">
      <c r="A21" s="71" t="s">
        <v>100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5"/>
      <c r="N21" s="63"/>
    </row>
    <row r="22" spans="1:15" ht="15.75" customHeight="1">
      <c r="A22" s="71" t="s">
        <v>101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5"/>
      <c r="N22" s="63"/>
    </row>
    <row r="23" spans="1:15" ht="15.75" customHeight="1">
      <c r="A23" s="71" t="s">
        <v>102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5"/>
      <c r="N23" s="63"/>
    </row>
    <row r="24" spans="1:15" ht="18.75">
      <c r="A24" s="74" t="s">
        <v>162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4"/>
      <c r="N25" s="64"/>
    </row>
    <row r="26" spans="1:15" ht="18.75" customHeight="1">
      <c r="A26" s="71" t="s">
        <v>104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4"/>
      <c r="N26" s="64"/>
    </row>
    <row r="27" spans="1:15" ht="18.75" customHeight="1">
      <c r="A27" s="71" t="s">
        <v>105</v>
      </c>
      <c r="B27" s="76" t="s">
        <v>4</v>
      </c>
      <c r="C27" s="87">
        <v>18296.7</v>
      </c>
      <c r="D27" s="82" t="s">
        <v>60</v>
      </c>
      <c r="E27" s="65"/>
      <c r="F27" s="65"/>
      <c r="G27" s="65"/>
      <c r="H27" s="65"/>
      <c r="I27" s="65"/>
      <c r="J27" s="65"/>
      <c r="M27" s="184"/>
      <c r="N27" s="64"/>
    </row>
    <row r="28" spans="1:15" ht="18.75" customHeight="1">
      <c r="A28" s="71" t="s">
        <v>106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4"/>
      <c r="N28" s="64"/>
    </row>
    <row r="29" spans="1:15" ht="18.75" customHeight="1">
      <c r="A29" s="71" t="s">
        <v>107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4"/>
      <c r="N29" s="64"/>
    </row>
    <row r="30" spans="1:15" ht="18.75" customHeight="1">
      <c r="A30" s="71" t="s">
        <v>108</v>
      </c>
      <c r="B30" s="76" t="s">
        <v>18</v>
      </c>
      <c r="C30" s="87">
        <f>C27+31910.86</f>
        <v>50207.56</v>
      </c>
      <c r="D30" s="82" t="s">
        <v>66</v>
      </c>
      <c r="E30" s="65"/>
      <c r="F30" s="65"/>
      <c r="G30" s="65"/>
      <c r="H30" s="65"/>
      <c r="I30" s="65"/>
      <c r="J30" s="65"/>
      <c r="M30" s="184"/>
      <c r="N30" s="64"/>
    </row>
    <row r="31" spans="1:15" ht="18.75" customHeight="1">
      <c r="A31" s="71" t="s">
        <v>109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4"/>
      <c r="N31" s="64"/>
    </row>
    <row r="32" spans="1:15" ht="18.75" customHeight="1">
      <c r="A32" s="71" t="s">
        <v>110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4"/>
      <c r="N32" s="64"/>
    </row>
    <row r="33" spans="1:15" ht="18.75" customHeight="1">
      <c r="A33" s="71" t="s">
        <v>111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4"/>
      <c r="N33" s="64"/>
    </row>
    <row r="34" spans="1:15" ht="18.75" customHeight="1">
      <c r="A34" s="71" t="s">
        <v>112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4"/>
      <c r="N34" s="64"/>
    </row>
    <row r="35" spans="1:15" ht="18.75">
      <c r="A35" s="74" t="s">
        <v>163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142092.69999999998</v>
      </c>
      <c r="F37" s="95" t="s">
        <v>167</v>
      </c>
      <c r="G37" s="67"/>
      <c r="H37" s="67"/>
      <c r="I37" s="67"/>
      <c r="L37" s="64"/>
      <c r="M37" s="183"/>
      <c r="N37" s="64"/>
      <c r="O37" s="64"/>
    </row>
    <row r="38" spans="1:15" ht="18.75" customHeight="1">
      <c r="A38" s="71" t="s">
        <v>113</v>
      </c>
      <c r="B38" s="79" t="s">
        <v>37</v>
      </c>
      <c r="C38" s="91">
        <v>112412.29862414006</v>
      </c>
      <c r="D38" s="95" t="s">
        <v>165</v>
      </c>
      <c r="E38" s="69"/>
      <c r="G38" s="68"/>
      <c r="H38" s="68"/>
      <c r="L38" s="64"/>
      <c r="M38" s="183"/>
      <c r="N38" s="64"/>
      <c r="O38" s="64"/>
    </row>
    <row r="39" spans="1:15" ht="18.75" customHeight="1">
      <c r="A39" s="71" t="s">
        <v>114</v>
      </c>
      <c r="B39" s="79" t="s">
        <v>38</v>
      </c>
      <c r="C39" s="92">
        <v>133891.42000000004</v>
      </c>
      <c r="D39" s="95" t="s">
        <v>166</v>
      </c>
      <c r="E39" s="69"/>
      <c r="G39" s="68"/>
      <c r="H39" s="68"/>
      <c r="L39" s="64"/>
      <c r="M39" s="183"/>
      <c r="N39" s="64"/>
      <c r="O39" s="64"/>
    </row>
    <row r="40" spans="1:15" ht="18.75" customHeight="1">
      <c r="A40" s="71" t="s">
        <v>115</v>
      </c>
      <c r="B40" s="79" t="s">
        <v>39</v>
      </c>
      <c r="C40" s="94">
        <f>IF(E37-C39&lt;0,0,E37-C39)</f>
        <v>8201.2799999999406</v>
      </c>
      <c r="D40" s="81" t="s">
        <v>59</v>
      </c>
      <c r="E40" s="69"/>
      <c r="G40" s="68"/>
      <c r="H40" s="68"/>
      <c r="L40" s="64"/>
      <c r="M40" s="183"/>
      <c r="N40" s="64"/>
      <c r="O40" s="64"/>
    </row>
    <row r="41" spans="1:15" ht="18.75" customHeight="1">
      <c r="A41" s="71" t="s">
        <v>116</v>
      </c>
      <c r="B41" s="79" t="s">
        <v>40</v>
      </c>
      <c r="C41" s="94">
        <f>E37</f>
        <v>142092.69999999998</v>
      </c>
      <c r="D41" s="81" t="s">
        <v>59</v>
      </c>
      <c r="E41" s="69"/>
      <c r="G41" s="68"/>
      <c r="H41" s="68"/>
      <c r="L41" s="64"/>
      <c r="M41" s="183"/>
      <c r="N41" s="64"/>
      <c r="O41" s="64"/>
    </row>
    <row r="42" spans="1:15" ht="18.75" customHeight="1">
      <c r="A42" s="71" t="s">
        <v>117</v>
      </c>
      <c r="B42" s="79" t="s">
        <v>41</v>
      </c>
      <c r="C42" s="94">
        <f>E37</f>
        <v>142092.69999999998</v>
      </c>
      <c r="D42" s="81" t="s">
        <v>59</v>
      </c>
      <c r="E42" s="69"/>
      <c r="G42" s="68"/>
      <c r="H42" s="68"/>
      <c r="L42" s="64"/>
      <c r="M42" s="183"/>
      <c r="N42" s="64"/>
      <c r="O42" s="64"/>
    </row>
    <row r="43" spans="1:15" ht="18.75" customHeight="1">
      <c r="A43" s="71" t="s">
        <v>118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3"/>
      <c r="N43" s="64"/>
      <c r="O43" s="64"/>
    </row>
    <row r="44" spans="1:15" ht="30" customHeight="1">
      <c r="A44" s="71" t="s">
        <v>119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3"/>
      <c r="N44" s="64"/>
      <c r="O44" s="64"/>
    </row>
    <row r="45" spans="1:15" ht="18.75">
      <c r="A45" s="74" t="s">
        <v>121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91920.98000000001</v>
      </c>
      <c r="F45" s="95" t="s">
        <v>167</v>
      </c>
      <c r="G45" s="67"/>
      <c r="H45" s="67"/>
      <c r="L45" s="64"/>
      <c r="M45" s="183"/>
      <c r="N45" s="64"/>
      <c r="O45" s="64"/>
    </row>
    <row r="46" spans="1:15" ht="18.75" customHeight="1">
      <c r="A46" s="74" t="s">
        <v>122</v>
      </c>
      <c r="B46" s="79" t="s">
        <v>37</v>
      </c>
      <c r="C46" s="91">
        <v>6128.6701363073116</v>
      </c>
      <c r="D46" s="95" t="s">
        <v>168</v>
      </c>
      <c r="E46" s="144"/>
      <c r="G46" s="68"/>
      <c r="H46" s="68"/>
      <c r="L46" s="64"/>
      <c r="M46" s="183"/>
      <c r="N46" s="64"/>
      <c r="O46" s="64"/>
    </row>
    <row r="47" spans="1:15" ht="18.75" customHeight="1">
      <c r="A47" s="74" t="s">
        <v>123</v>
      </c>
      <c r="B47" s="79" t="s">
        <v>38</v>
      </c>
      <c r="C47" s="92">
        <v>84060.360000000015</v>
      </c>
      <c r="D47" s="95" t="s">
        <v>166</v>
      </c>
      <c r="E47" s="144"/>
      <c r="G47" s="68"/>
      <c r="H47" s="68"/>
      <c r="L47" s="64"/>
      <c r="M47" s="183"/>
      <c r="N47" s="64"/>
      <c r="O47" s="64"/>
    </row>
    <row r="48" spans="1:15" ht="18.75" customHeight="1">
      <c r="A48" s="74" t="s">
        <v>124</v>
      </c>
      <c r="B48" s="79" t="s">
        <v>39</v>
      </c>
      <c r="C48" s="94">
        <f>IF(E45-C47&lt;0,0,E45-C47)</f>
        <v>7860.6199999999953</v>
      </c>
      <c r="D48" s="81" t="s">
        <v>59</v>
      </c>
      <c r="E48" s="144"/>
      <c r="G48" s="68"/>
      <c r="H48" s="68"/>
      <c r="L48" s="64"/>
      <c r="M48" s="183"/>
      <c r="N48" s="64"/>
      <c r="O48" s="64"/>
    </row>
    <row r="49" spans="1:15" ht="18.75" customHeight="1">
      <c r="A49" s="74" t="s">
        <v>125</v>
      </c>
      <c r="B49" s="79" t="s">
        <v>40</v>
      </c>
      <c r="C49" s="94">
        <f>E45</f>
        <v>91920.98000000001</v>
      </c>
      <c r="D49" s="81" t="s">
        <v>59</v>
      </c>
      <c r="E49" s="69"/>
      <c r="G49" s="68"/>
      <c r="H49" s="68"/>
      <c r="L49" s="64"/>
      <c r="M49" s="183"/>
      <c r="N49" s="64"/>
      <c r="O49" s="64"/>
    </row>
    <row r="50" spans="1:15" ht="18.75" customHeight="1">
      <c r="A50" s="74" t="s">
        <v>126</v>
      </c>
      <c r="B50" s="79" t="s">
        <v>41</v>
      </c>
      <c r="C50" s="94">
        <f>E45</f>
        <v>91920.98000000001</v>
      </c>
      <c r="D50" s="81" t="s">
        <v>59</v>
      </c>
      <c r="E50" s="69"/>
      <c r="G50" s="68"/>
      <c r="H50" s="68"/>
      <c r="L50" s="64"/>
      <c r="M50" s="183"/>
      <c r="N50" s="64"/>
      <c r="O50" s="64"/>
    </row>
    <row r="51" spans="1:15" ht="18.75" customHeight="1">
      <c r="A51" s="74" t="s">
        <v>127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3"/>
      <c r="N51" s="64"/>
      <c r="O51" s="64"/>
    </row>
    <row r="52" spans="1:15" ht="29.25" customHeight="1">
      <c r="A52" s="74" t="s">
        <v>128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3"/>
      <c r="N52" s="64"/>
      <c r="O52" s="64"/>
    </row>
    <row r="53" spans="1:15" ht="18.75">
      <c r="A53" s="74" t="s">
        <v>129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111755.21</v>
      </c>
      <c r="F53" s="95" t="s">
        <v>167</v>
      </c>
      <c r="G53" s="67"/>
      <c r="H53" s="67"/>
      <c r="L53" s="64"/>
      <c r="M53" s="183"/>
      <c r="N53" s="64"/>
      <c r="O53" s="64"/>
    </row>
    <row r="54" spans="1:15" ht="18.75" customHeight="1">
      <c r="A54" s="74" t="s">
        <v>130</v>
      </c>
      <c r="B54" s="76" t="s">
        <v>37</v>
      </c>
      <c r="C54" s="99">
        <v>6714.2043841844607</v>
      </c>
      <c r="D54" s="95" t="s">
        <v>168</v>
      </c>
      <c r="E54" s="70"/>
      <c r="F54" s="90"/>
      <c r="G54" s="65"/>
      <c r="H54" s="65"/>
      <c r="L54" s="64"/>
      <c r="M54" s="183"/>
      <c r="N54" s="64"/>
      <c r="O54" s="64"/>
    </row>
    <row r="55" spans="1:15" ht="18.75" customHeight="1">
      <c r="A55" s="74" t="s">
        <v>131</v>
      </c>
      <c r="B55" s="76" t="s">
        <v>38</v>
      </c>
      <c r="C55" s="87">
        <v>101626.59</v>
      </c>
      <c r="D55" s="95" t="s">
        <v>166</v>
      </c>
      <c r="E55" s="70"/>
      <c r="G55" s="65"/>
      <c r="H55" s="65"/>
      <c r="L55" s="64"/>
      <c r="M55" s="183"/>
      <c r="N55" s="64"/>
      <c r="O55" s="64"/>
    </row>
    <row r="56" spans="1:15" ht="18.75" customHeight="1">
      <c r="A56" s="74" t="s">
        <v>132</v>
      </c>
      <c r="B56" s="76" t="s">
        <v>39</v>
      </c>
      <c r="C56" s="94">
        <f>IF(E53-C55&lt;0,0,E53-C55)</f>
        <v>10128.62000000001</v>
      </c>
      <c r="D56" s="81" t="s">
        <v>59</v>
      </c>
      <c r="E56" s="70"/>
      <c r="G56" s="65"/>
      <c r="H56" s="65"/>
      <c r="L56" s="64"/>
      <c r="M56" s="183"/>
      <c r="N56" s="64"/>
      <c r="O56" s="64"/>
    </row>
    <row r="57" spans="1:15" ht="18.75" customHeight="1">
      <c r="A57" s="74" t="s">
        <v>133</v>
      </c>
      <c r="B57" s="76" t="s">
        <v>40</v>
      </c>
      <c r="C57" s="94">
        <f>E53</f>
        <v>111755.21</v>
      </c>
      <c r="D57" s="81" t="s">
        <v>59</v>
      </c>
      <c r="E57" s="70"/>
      <c r="G57" s="65"/>
      <c r="H57" s="65"/>
      <c r="L57" s="64"/>
      <c r="M57" s="183"/>
      <c r="N57" s="64"/>
      <c r="O57" s="64"/>
    </row>
    <row r="58" spans="1:15" ht="18.75" customHeight="1">
      <c r="A58" s="74" t="s">
        <v>134</v>
      </c>
      <c r="B58" s="76" t="s">
        <v>41</v>
      </c>
      <c r="C58" s="94">
        <f>E53</f>
        <v>111755.21</v>
      </c>
      <c r="D58" s="81" t="s">
        <v>59</v>
      </c>
      <c r="E58" s="70"/>
      <c r="G58" s="65"/>
      <c r="H58" s="65"/>
      <c r="L58" s="64"/>
      <c r="M58" s="183"/>
      <c r="N58" s="64"/>
      <c r="O58" s="64"/>
    </row>
    <row r="59" spans="1:15" ht="18.75" customHeight="1">
      <c r="A59" s="74" t="s">
        <v>135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3"/>
      <c r="N59" s="64"/>
      <c r="O59" s="64"/>
    </row>
    <row r="60" spans="1:15" ht="33.75" customHeight="1">
      <c r="A60" s="74" t="s">
        <v>136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3"/>
      <c r="N60" s="64"/>
      <c r="O60" s="64"/>
    </row>
    <row r="61" spans="1:15" ht="15.75">
      <c r="A61" s="74" t="s">
        <v>137</v>
      </c>
      <c r="B61" s="78" t="s">
        <v>78</v>
      </c>
      <c r="C61" s="97" t="str">
        <f>IF(E61&gt;0,"Предоставляется",0)</f>
        <v>Предоставляется</v>
      </c>
      <c r="D61" s="97" t="s">
        <v>55</v>
      </c>
      <c r="E61" s="96">
        <v>82289.880000000019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37</v>
      </c>
      <c r="C62" s="99">
        <v>161.90989198008043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38</v>
      </c>
      <c r="C63" s="87">
        <v>76569.539999999964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39</v>
      </c>
      <c r="C64" s="94">
        <f>IF(E61-C63&lt;0,0,E61-C63)</f>
        <v>5720.3400000000547</v>
      </c>
      <c r="D64" s="81" t="s">
        <v>59</v>
      </c>
      <c r="E64" s="70"/>
      <c r="G64" s="65"/>
      <c r="H64" s="65"/>
    </row>
    <row r="65" spans="1:8" ht="15.75" customHeight="1">
      <c r="A65" s="74" t="s">
        <v>141</v>
      </c>
      <c r="B65" s="76" t="s">
        <v>40</v>
      </c>
      <c r="C65" s="94">
        <f>E61</f>
        <v>82289.880000000019</v>
      </c>
      <c r="D65" s="81" t="s">
        <v>59</v>
      </c>
      <c r="E65" s="70"/>
      <c r="G65" s="65"/>
      <c r="H65" s="65"/>
    </row>
    <row r="66" spans="1:8" ht="15.75" customHeight="1">
      <c r="A66" s="74" t="s">
        <v>142</v>
      </c>
      <c r="B66" s="76" t="s">
        <v>41</v>
      </c>
      <c r="C66" s="94">
        <f>E61</f>
        <v>82289.880000000019</v>
      </c>
      <c r="D66" s="81" t="s">
        <v>59</v>
      </c>
      <c r="E66" s="70"/>
      <c r="G66" s="65"/>
      <c r="H66" s="65"/>
    </row>
    <row r="67" spans="1:8" ht="15.75" customHeight="1">
      <c r="A67" s="74" t="s">
        <v>143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144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>
        <f>IF(E69&gt;0,"Предоставляется",0)</f>
        <v>0</v>
      </c>
      <c r="D69" s="97" t="s">
        <v>55</v>
      </c>
      <c r="E69" s="96"/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37</v>
      </c>
      <c r="C70" s="99"/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38</v>
      </c>
      <c r="C71" s="87"/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149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150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151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152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/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37</v>
      </c>
      <c r="C78" s="99"/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38</v>
      </c>
      <c r="C79" s="87"/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157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158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159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160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45</v>
      </c>
      <c r="C2" s="106"/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46</v>
      </c>
      <c r="C3" s="106">
        <v>6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60" t="s">
        <v>47</v>
      </c>
      <c r="C4" s="107">
        <v>73678.87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2023-03-30T06:10:58Z</dcterms:modified>
</cp:coreProperties>
</file>