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G110" i="1"/>
  <c r="J109" i="1"/>
  <c r="J104" i="1"/>
  <c r="J103" i="1"/>
  <c r="G102" i="1"/>
  <c r="J101" i="1"/>
  <c r="J96" i="1"/>
  <c r="J95" i="1"/>
  <c r="G94" i="1"/>
  <c r="K94" i="1"/>
  <c r="A119" i="1" l="1"/>
  <c r="A116" i="1"/>
  <c r="A110" i="1"/>
  <c r="D110" i="1"/>
  <c r="A105" i="1"/>
  <c r="A109" i="1"/>
  <c r="A111" i="1"/>
  <c r="A112" i="1"/>
  <c r="A115" i="1"/>
  <c r="A118" i="1"/>
  <c r="A123" i="1"/>
  <c r="A122" i="1"/>
  <c r="F110" i="1"/>
  <c r="A113" i="1"/>
  <c r="A141" i="1"/>
  <c r="F134" i="1"/>
  <c r="A101" i="1"/>
  <c r="D118" i="1"/>
  <c r="A120" i="1"/>
  <c r="A124" i="1"/>
  <c r="F118" i="1"/>
  <c r="A121" i="1"/>
  <c r="A137" i="1"/>
  <c r="F102" i="1"/>
  <c r="A97" i="1"/>
  <c r="F94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64" i="1" l="1"/>
  <c r="F183" i="1"/>
  <c r="H172" i="1"/>
  <c r="F173" i="1"/>
  <c r="H173" i="1"/>
  <c r="H166" i="1"/>
  <c r="F185" i="1"/>
  <c r="H169" i="1"/>
  <c r="F180" i="1"/>
  <c r="H180" i="1"/>
  <c r="H168" i="1"/>
  <c r="F168" i="1"/>
  <c r="F164" i="1"/>
  <c r="F178" i="1"/>
  <c r="H178" i="1"/>
  <c r="H183" i="1"/>
  <c r="F172" i="1"/>
  <c r="F169" i="1"/>
  <c r="H185" i="1"/>
  <c r="H167" i="1"/>
  <c r="F176" i="1"/>
  <c r="F182" i="1"/>
  <c r="F175" i="1"/>
  <c r="F166" i="1"/>
  <c r="H177" i="1"/>
  <c r="H182" i="1"/>
  <c r="F171" i="1"/>
  <c r="H184" i="1"/>
  <c r="F170" i="1"/>
  <c r="F184" i="1"/>
  <c r="F179" i="1"/>
  <c r="H165" i="1"/>
  <c r="H171" i="1"/>
  <c r="F186" i="1"/>
  <c r="F187" i="1"/>
  <c r="H179" i="1"/>
  <c r="H170" i="1"/>
  <c r="H176" i="1"/>
  <c r="H174" i="1"/>
  <c r="H187" i="1"/>
  <c r="F177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<sst xmlns="http://schemas.openxmlformats.org/spreadsheetml/2006/main" count="542" uniqueCount="196">
  <si>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</si>
  <si>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</si>
  <si>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</si>
  <si>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</si>
  <si>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</si>
  <si>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</si>
  <si>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</si>
  <si>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</si>
  <si>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</si>
  <si>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</si>
  <si>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</si>
  <si>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</si>
  <si>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</si>
  <si>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</si>
  <si>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</si>
  <si>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</si>
  <si>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</si>
  <si>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</si>
  <si>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</si>
  <si>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</si>
  <si>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</si>
  <si>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</si>
  <si>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</si>
  <si>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</si>
  <si>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</si>
  <si>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</si>
  <si>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</si>
  <si>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</si>
  <si>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</si>
  <si>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</si>
  <si>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</si>
  <si>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</si>
  <si>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</si>
  <si>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</si>
  <si>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</si>
  <si>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</si>
  <si>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</si>
  <si>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</si>
  <si>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</si>
  <si>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</si>
  <si>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</si>
  <si>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</si>
  <si>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</si>
  <si>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</si>
  <si>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</si>
  <si>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</si>
  <si>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</si>
  <si>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</si>
  <si>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</si>
  <si>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</si>
  <si>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</si>
  <si>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</si>
  <si>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</si>
  <si>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</si>
  <si>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</si>
  <si>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</si>
  <si>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</si>
  <si>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</si>
  <si>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</si>
  <si>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</si>
  <si>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</si>
  <si>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</si>
  <si>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</si>
  <si>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</si>
  <si>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</si>
  <si>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</si>
  <si>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</si>
  <si>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</si>
  <si>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</si>
  <si>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</si>
  <si>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</si>
  <si>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</si>
  <si>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</si>
  <si>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</si>
  <si>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</si>
  <si>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</si>
  <si>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</si>
  <si>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</si>
  <si>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</si>
  <si>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</si>
  <si>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</si>
  <si>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</si>
  <si>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</si>
  <si>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</si>
  <si>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</si>
  <si>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</si>
  <si>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</si>
  <si>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</si>
  <si>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</si>
  <si>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</si>
  <si>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</si>
  <si>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</si>
  <si>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</si>
  <si>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</si>
  <si>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</si>
  <si>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</si>
  <si>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</si>
  <si>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</si>
  <si>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</si>
  <si>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</si>
  <si>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</si>
  <si>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</si>
  <si>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</si>
  <si>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</si>
  <si>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</si>
  <si>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</si>
  <si>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</si>
  <si>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</si>
  <si>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</si>
  <si>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</si>
  <si>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</si>
  <si>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</si>
  <si>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</si>
  <si>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</si>
  <si>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</si>
  <si>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</si>
  <si>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</si>
  <si>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</si>
  <si>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</si>
  <si>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</si>
  <si>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</si>
  <si>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</si>
  <si>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</si>
  <si>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</si>
  <si>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</si>
  <si>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</si>
  <si>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</si>
  <si>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</si>
  <si>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</si>
  <si>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</si>
  <si>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</si>
  <si>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</si>
  <si>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</si>
  <si>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</si>
  <si>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</si>
  <si>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</si>
  <si>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</si>
  <si>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</si>
  <si>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</si>
  <si>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</si>
  <si>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</si>
  <si>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</si>
  <si>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</si>
  <si>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</si>
  <si>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</si>
  <si>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</si>
  <si>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</si>
  <si>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</si>
  <si>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</si>
  <si>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</si>
  <si>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</si>
  <si>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</si>
  <si>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</si>
  <si>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</si>
  <si>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</si>
  <si>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</si>
  <si>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</si>
  <si>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</si>
  <si>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</si>
  <si>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</si>
  <si>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</si>
  <si>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</si>
  <si>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</si>
  <si>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</si>
  <si>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</si>
  <si>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</si>
  <si>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</si>
  <si>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</si>
  <si>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</si>
  <si>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</si>
  <si>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</si>
  <si>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</si>
  <si>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</si>
  <si>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</si>
  <si>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</si>
  <si>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</si>
  <si>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</si>
  <si>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12/4</t>
  </si>
  <si>
    <t>Отчет об исполнении договора управления многоквартирного дома 
Мамина-Сибиряка, 12/4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</si>
  <si>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</si>
  <si>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</si>
  <si>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</si>
  <si>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</si>
  <si>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</si>
  <si>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</si>
  <si>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</si>
  <si>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</si>
  <si>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</si>
  <si>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разово</t>
  </si>
  <si>
    <t>АВР 1/22 от 03.03.2022, Решение</t>
  </si>
  <si>
    <t>АВР 2/22 от 28.04.2022</t>
  </si>
  <si>
    <t>АВР 3/22 от 31.12.2022</t>
  </si>
  <si>
    <t xml:space="preserve">  -  механизированная уборка и вывоз снега с придомовой территории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</si>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</sst>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25" fillId="0" borderId="0" xfId="5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5" fillId="0" borderId="0" xfId="12" applyNumberFormat="1" applyFont="1" applyFill="1" applyBorder="1" applyAlignment="1"/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6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6" fillId="0" borderId="0" xfId="5" applyFont="1" applyFill="1" applyBorder="1" applyAlignment="1">
      <alignment wrapText="1"/>
    </xf>
    <xf numFmtId="0" fontId="5" fillId="0" borderId="0" xfId="4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11" applyFont="1" applyFill="1" applyBorder="1" applyAlignment="1"/>
    <xf numFmtId="0" fontId="4" fillId="0" borderId="0" xfId="2" applyFont="1" applyFill="1" applyBorder="1" applyAlignment="1"/>
    <xf numFmtId="0" fontId="4" fillId="0" borderId="0" xfId="12" applyFont="1" applyFill="1" applyBorder="1" applyAlignment="1">
      <alignment horizontal="center"/>
    </xf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14" applyNumberFormat="1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25" fillId="0" borderId="0" xfId="6" applyNumberFormat="1" applyFont="1" applyFill="1" applyBorder="1" applyAlignment="1">
      <alignment horizontal="center" vertical="center"/>
    </xf>
    <xf numFmtId="4" fontId="8" fillId="0" borderId="0" xfId="6" applyNumberFormat="1" applyFill="1" applyBorder="1" applyAlignment="1"/>
    <xf numFmtId="0" fontId="2" fillId="0" borderId="0" xfId="6" applyFont="1" applyFill="1" applyBorder="1"/>
    <xf numFmtId="4" fontId="17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0" xfId="5" applyFill="1" applyBorder="1" applyAlignment="1"/>
    <xf numFmtId="0" fontId="10" fillId="0" borderId="0" xfId="5" applyFill="1" applyBorder="1" applyAlignment="1">
      <alignment horizontal="center"/>
    </xf>
    <xf numFmtId="0" fontId="1" fillId="0" borderId="0" xfId="5" applyFont="1" applyFill="1" applyBorder="1"/>
    <xf numFmtId="0" fontId="10" fillId="0" borderId="0" xfId="5" applyNumberFormat="1" applyFill="1" applyBorder="1" applyAlignment="1">
      <alignment horizontal="center"/>
    </xf>
    <xf numFmtId="4" fontId="9" fillId="0" borderId="0" xfId="5" applyNumberFormat="1" applyFont="1" applyFill="1" applyBorder="1" applyAlignment="1">
      <alignment vertical="center"/>
    </xf>
    <xf numFmtId="4" fontId="17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0"/>
    <cellStyle name="Обычный 2 3 2" xfId="18"/>
    <cellStyle name="Обычный 2 4" xfId="7"/>
    <cellStyle name="Обычный 2 5" xfId="14"/>
    <cellStyle name="Обычный 3" xfId="2"/>
    <cellStyle name="Обычный 3 2" xfId="11"/>
    <cellStyle name="Обычный 3 2 2" xfId="19"/>
    <cellStyle name="Обычный 3 3" xfId="8"/>
    <cellStyle name="Обычный 3 4" xfId="15"/>
    <cellStyle name="Обычный 4" xfId="4"/>
    <cellStyle name="Обычный 4 2" xfId="12"/>
    <cellStyle name="Обычный 4 2 2" xfId="20"/>
    <cellStyle name="Обычный 4 3" xfId="9"/>
    <cellStyle name="Обычный 4 4" xfId="16"/>
    <cellStyle name="Обычный 5" xfId="5"/>
    <cellStyle name="Обычный 5 2" xfId="6"/>
    <cellStyle name="Обычный 5 2 2" xfId="22"/>
    <cellStyle name="Обычный 5 3" xfId="13"/>
    <cellStyle name="Обычный 5 3 2" xfId="21"/>
    <cellStyle name="Обычный 5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5" sqref="F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1" t="s">
        <v>177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183</v>
      </c>
      <c r="E4" s="117">
        <v>44562</v>
      </c>
      <c r="K4" s="110"/>
      <c r="L4" s="110"/>
      <c r="M4" s="110"/>
      <c r="N4" s="110"/>
    </row>
    <row r="5" spans="1:18">
      <c r="A5" s="1" t="s">
        <v>0</v>
      </c>
      <c r="E5" s="117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5" t="s">
        <v>1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0"/>
      <c r="L8" s="172"/>
      <c r="M8" s="110"/>
      <c r="N8" s="110"/>
      <c r="O8" s="70" t="s">
        <v>82</v>
      </c>
      <c r="R8" s="16"/>
    </row>
    <row r="9" spans="1:18" ht="18.75" customHeight="1" outlineLevel="1">
      <c r="A9" s="165" t="s">
        <v>2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0"/>
      <c r="L9" s="172"/>
      <c r="M9" s="110"/>
      <c r="N9" s="110"/>
      <c r="O9" s="70" t="s">
        <v>83</v>
      </c>
    </row>
    <row r="10" spans="1:18" ht="18.75" customHeight="1" outlineLevel="1">
      <c r="A10" s="165" t="s">
        <v>3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249948.56</v>
      </c>
      <c r="K10" s="110"/>
      <c r="L10" s="172"/>
      <c r="M10" s="110"/>
      <c r="N10" s="110"/>
      <c r="O10" s="70" t="s">
        <v>84</v>
      </c>
    </row>
    <row r="11" spans="1:18" outlineLevel="1">
      <c r="A11" s="165" t="s">
        <v>4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442743.42</v>
      </c>
      <c r="K11" s="110"/>
      <c r="L11" s="172"/>
      <c r="M11" s="110"/>
      <c r="N11" s="110"/>
      <c r="O11" s="70" t="s">
        <v>85</v>
      </c>
    </row>
    <row r="12" spans="1:18" ht="18.75" customHeight="1" outlineLevel="1">
      <c r="A12" s="165" t="s">
        <v>5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338283.3</v>
      </c>
      <c r="K12" s="110"/>
      <c r="L12" s="172"/>
      <c r="M12" s="110"/>
      <c r="N12" s="110"/>
      <c r="O12" s="70" t="s">
        <v>86</v>
      </c>
    </row>
    <row r="13" spans="1:18" ht="18.75" customHeight="1" outlineLevel="1">
      <c r="A13" s="165" t="s">
        <v>6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104460.12</v>
      </c>
      <c r="K13" s="110"/>
      <c r="L13" s="172"/>
      <c r="M13" s="110"/>
      <c r="N13" s="110"/>
      <c r="O13" s="70" t="s">
        <v>87</v>
      </c>
    </row>
    <row r="14" spans="1:18" ht="18.75" customHeight="1" outlineLevel="1">
      <c r="A14" s="165" t="s">
        <v>7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0"/>
      <c r="L14" s="172"/>
      <c r="M14" s="110"/>
      <c r="N14" s="110"/>
      <c r="O14" s="70" t="s">
        <v>88</v>
      </c>
    </row>
    <row r="15" spans="1:18" ht="18.75" customHeight="1" outlineLevel="1">
      <c r="A15" s="165" t="s">
        <v>8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531106.43000000005</v>
      </c>
      <c r="K15" s="110"/>
      <c r="L15" s="172"/>
      <c r="M15" s="110"/>
      <c r="N15" s="110"/>
      <c r="O15" s="70" t="s">
        <v>89</v>
      </c>
    </row>
    <row r="16" spans="1:18" ht="18.75" customHeight="1" outlineLevel="1">
      <c r="A16" s="165" t="s">
        <v>9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531106.43000000005</v>
      </c>
      <c r="K16" s="110"/>
      <c r="L16" s="172"/>
      <c r="M16" s="110"/>
      <c r="N16" s="110"/>
      <c r="O16" s="70" t="s">
        <v>90</v>
      </c>
    </row>
    <row r="17" spans="1:23" ht="18.75" customHeight="1" outlineLevel="1">
      <c r="A17" s="165" t="s">
        <v>10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0"/>
      <c r="L17" s="172"/>
      <c r="M17" s="110"/>
      <c r="N17" s="110"/>
      <c r="O17" s="70" t="s">
        <v>91</v>
      </c>
    </row>
    <row r="18" spans="1:23" ht="18.75" customHeight="1" outlineLevel="1">
      <c r="A18" s="165" t="s">
        <v>11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0"/>
      <c r="L18" s="172"/>
      <c r="M18" s="110"/>
      <c r="N18" s="110"/>
      <c r="O18" s="70" t="s">
        <v>92</v>
      </c>
    </row>
    <row r="19" spans="1:23" ht="18.75" customHeight="1" outlineLevel="1">
      <c r="A19" s="165" t="s">
        <v>12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0"/>
      <c r="L19" s="172"/>
      <c r="M19" s="110"/>
      <c r="N19" s="110"/>
      <c r="O19" s="70" t="s">
        <v>93</v>
      </c>
    </row>
    <row r="20" spans="1:23" ht="18.75" customHeight="1" outlineLevel="1">
      <c r="A20" s="165" t="s">
        <v>13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0"/>
      <c r="L20" s="172"/>
      <c r="M20" s="110"/>
      <c r="N20" s="110"/>
      <c r="O20" s="70" t="s">
        <v>94</v>
      </c>
    </row>
    <row r="21" spans="1:23" ht="18.75" customHeight="1" outlineLevel="1">
      <c r="A21" s="165" t="s">
        <v>14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531106.43000000005</v>
      </c>
      <c r="K21" s="110"/>
      <c r="L21" s="172"/>
      <c r="M21" s="110"/>
      <c r="N21" s="110"/>
      <c r="O21" s="70" t="s">
        <v>95</v>
      </c>
    </row>
    <row r="22" spans="1:23" ht="18.75" customHeight="1" outlineLevel="1">
      <c r="A22" s="165" t="s">
        <v>15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0"/>
      <c r="L22" s="172"/>
      <c r="M22" s="110"/>
      <c r="N22" s="110"/>
      <c r="O22" s="70" t="s">
        <v>96</v>
      </c>
    </row>
    <row r="23" spans="1:23" ht="18.75" customHeight="1" outlineLevel="1">
      <c r="A23" s="165" t="s">
        <v>16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0"/>
      <c r="L23" s="172"/>
      <c r="M23" s="110"/>
      <c r="N23" s="110"/>
      <c r="O23" s="70" t="s">
        <v>97</v>
      </c>
    </row>
    <row r="24" spans="1:23" ht="18.75" customHeight="1" outlineLevel="1">
      <c r="A24" s="165" t="s">
        <v>17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161585.54999999993</v>
      </c>
      <c r="K24" s="110"/>
      <c r="L24" s="172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64" t="s">
        <v>18</v>
      </c>
      <c r="B27" s="164"/>
      <c r="C27" s="164"/>
      <c r="D27" s="164"/>
      <c r="E27" s="164"/>
      <c r="F27" s="164" t="s">
        <v>19</v>
      </c>
      <c r="G27" s="164"/>
      <c r="H27" s="5" t="s">
        <v>56</v>
      </c>
      <c r="I27" s="164" t="s">
        <v>20</v>
      </c>
      <c r="J27" s="164"/>
      <c r="K27" s="110"/>
      <c r="L27" s="17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61">
        <f>VLOOKUP(A28,ПТО!$A$39:$D$53,2,FALSE)</f>
        <v>74929.2</v>
      </c>
      <c r="G28" s="161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10"/>
      <c r="L28" s="17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6"/>
      <c r="C29" s="156"/>
      <c r="D29" s="156"/>
      <c r="E29" s="156"/>
      <c r="F29" s="161">
        <f>VLOOKUP(A29,ПТО!$A$39:$D$53,2,FALSE)</f>
        <v>87931.68</v>
      </c>
      <c r="G29" s="161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10"/>
      <c r="L29" s="173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61">
        <f>VLOOKUP(A30,ПТО!$A$39:$D$53,2,FALSE)</f>
        <v>35922</v>
      </c>
      <c r="G30" s="161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10"/>
      <c r="L30" s="17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61">
        <f>VLOOKUP(A31,ПТО!$A$39:$D$53,2,FALSE)</f>
        <v>26445.599999999999</v>
      </c>
      <c r="G31" s="161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10"/>
      <c r="L31" s="17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10"/>
      <c r="L32" s="173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61">
        <f>VLOOKUP(A33,ПТО!$A$39:$D$53,2,FALSE)</f>
        <v>8815.2000000000007</v>
      </c>
      <c r="G33" s="161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10"/>
      <c r="L33" s="17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61">
        <f>VLOOKUP(A34,ПТО!$A$39:$D$53,2,FALSE)</f>
        <v>50246.64</v>
      </c>
      <c r="G34" s="161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10"/>
      <c r="L34" s="17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6" t="str">
        <f>ПТО!A46</f>
        <v>Работы по содержанию лифта (лифтов)</v>
      </c>
      <c r="B35" s="156"/>
      <c r="C35" s="156"/>
      <c r="D35" s="156"/>
      <c r="E35" s="156"/>
      <c r="F35" s="161">
        <f>VLOOKUP(A35,ПТО!$A$39:$D$53,2,FALSE)</f>
        <v>53993.16</v>
      </c>
      <c r="G35" s="161"/>
      <c r="H35" s="42" t="str">
        <f>VLOOKUP(A35,ПТО!$A$39:$D$53,3,FALSE)</f>
        <v>Ежемесячно</v>
      </c>
      <c r="I35" s="157">
        <f>VLOOKUP(A35,ПТО!$A$39:$D$53,4,FALSE)</f>
        <v>12</v>
      </c>
      <c r="J35" s="157"/>
      <c r="K35" s="110"/>
      <c r="L35" s="173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61" t="e">
        <f>VLOOKUP(A36,ПТО!$A$39:$D$53,2,FALSE)</f>
        <v>#N/A</v>
      </c>
      <c r="G36" s="161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10"/>
      <c r="L36" s="173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10"/>
      <c r="L37" s="173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10"/>
      <c r="L38" s="173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10"/>
      <c r="L39" s="173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10"/>
      <c r="L40" s="173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10"/>
      <c r="L41" s="173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10"/>
      <c r="L42" s="173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6" t="str">
        <f>ПТО!A2</f>
        <v>Техническое освидетельствование лифта.</v>
      </c>
      <c r="B43" s="156"/>
      <c r="C43" s="156"/>
      <c r="D43" s="156"/>
      <c r="E43" s="156"/>
      <c r="F43" s="161">
        <f>VLOOKUP(A43,ПТО!$A$2:$D$31,4,FALSE)</f>
        <v>8100</v>
      </c>
      <c r="G43" s="161"/>
      <c r="H43" s="19" t="str">
        <f>VLOOKUP(A43,ПТО!$A$2:$D$31,2,FALSE)</f>
        <v>ежегодно</v>
      </c>
      <c r="I43" s="157">
        <f>VLOOKUP(A43,ПТО!$A$2:$D$31,3,FALSE)</f>
        <v>1</v>
      </c>
      <c r="J43" s="157"/>
      <c r="K43" s="110"/>
      <c r="L43" s="173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6" t="str">
        <f>ПТО!A3</f>
        <v>Техническое обслуживание охранной сигнализации.</v>
      </c>
      <c r="B44" s="156"/>
      <c r="C44" s="156"/>
      <c r="D44" s="156"/>
      <c r="E44" s="156"/>
      <c r="F44" s="161">
        <f>VLOOKUP(A44,ПТО!$A$2:$D$31,4,FALSE)</f>
        <v>9450</v>
      </c>
      <c r="G44" s="161"/>
      <c r="H44" s="25" t="str">
        <f>VLOOKUP(A44,ПТО!$A$2:$D$31,2,FALSE)</f>
        <v>ежемесячно</v>
      </c>
      <c r="I44" s="157">
        <f>VLOOKUP(A44,ПТО!$A$2:$D$31,3,FALSE)</f>
        <v>12</v>
      </c>
      <c r="J44" s="157"/>
      <c r="K44" s="110"/>
      <c r="L44" s="173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6" t="str">
        <f>ПТО!A4</f>
        <v>Механизированная уборка и вывоз снега с придомовой территории.</v>
      </c>
      <c r="B45" s="156"/>
      <c r="C45" s="156"/>
      <c r="D45" s="156"/>
      <c r="E45" s="156"/>
      <c r="F45" s="161">
        <f>VLOOKUP(A45,ПТО!$A$2:$D$31,4,FALSE)</f>
        <v>9917</v>
      </c>
      <c r="G45" s="161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10"/>
      <c r="L45" s="173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56">
        <f>ПТО!A5</f>
        <v>0</v>
      </c>
      <c r="B46" s="156"/>
      <c r="C46" s="156"/>
      <c r="D46" s="156"/>
      <c r="E46" s="156"/>
      <c r="F46" s="161" t="e">
        <f>VLOOKUP(A46,ПТО!$A$2:$D$31,4,FALSE)</f>
        <v>#N/A</v>
      </c>
      <c r="G46" s="161"/>
      <c r="H46" s="25" t="e">
        <f>VLOOKUP(A46,ПТО!$A$2:$D$31,2,FALSE)</f>
        <v>#N/A</v>
      </c>
      <c r="I46" s="157" t="e">
        <f>VLOOKUP(A46,ПТО!$A$2:$D$31,3,FALSE)</f>
        <v>#N/A</v>
      </c>
      <c r="J46" s="157"/>
      <c r="K46" s="110"/>
      <c r="L46" s="173"/>
      <c r="M46" s="116"/>
      <c r="N46" s="110"/>
      <c r="O46" s="23">
        <f t="shared" si="1"/>
        <v>0</v>
      </c>
      <c r="R46" s="22" t="s">
        <v>71</v>
      </c>
    </row>
    <row r="47" spans="1:18" ht="51" hidden="1" customHeight="1" outlineLevel="1">
      <c r="A47" s="156">
        <f>ПТО!A6</f>
        <v>0</v>
      </c>
      <c r="B47" s="156"/>
      <c r="C47" s="156"/>
      <c r="D47" s="156"/>
      <c r="E47" s="156"/>
      <c r="F47" s="161" t="e">
        <f>VLOOKUP(A47,ПТО!$A$2:$D$31,4,FALSE)</f>
        <v>#N/A</v>
      </c>
      <c r="G47" s="161"/>
      <c r="H47" s="25" t="e">
        <f>VLOOKUP(A47,ПТО!$A$2:$D$31,2,FALSE)</f>
        <v>#N/A</v>
      </c>
      <c r="I47" s="157" t="e">
        <f>VLOOKUP(A47,ПТО!$A$2:$D$31,3,FALSE)</f>
        <v>#N/A</v>
      </c>
      <c r="J47" s="157"/>
      <c r="K47" s="110"/>
      <c r="L47" s="173"/>
      <c r="M47" s="116"/>
      <c r="N47" s="110"/>
      <c r="O47" s="23">
        <f t="shared" si="1"/>
        <v>0</v>
      </c>
      <c r="R47" s="22" t="s">
        <v>71</v>
      </c>
    </row>
    <row r="48" spans="1:18" ht="51" hidden="1" customHeight="1" outlineLevel="1">
      <c r="A48" s="156">
        <f>ПТО!A7</f>
        <v>0</v>
      </c>
      <c r="B48" s="156"/>
      <c r="C48" s="156"/>
      <c r="D48" s="156"/>
      <c r="E48" s="156"/>
      <c r="F48" s="161" t="e">
        <f>VLOOKUP(A48,ПТО!$A$2:$D$31,4,FALSE)</f>
        <v>#N/A</v>
      </c>
      <c r="G48" s="161"/>
      <c r="H48" s="25" t="e">
        <f>VLOOKUP(A48,ПТО!$A$2:$D$31,2,FALSE)</f>
        <v>#N/A</v>
      </c>
      <c r="I48" s="157" t="e">
        <f>VLOOKUP(A48,ПТО!$A$2:$D$31,3,FALSE)</f>
        <v>#N/A</v>
      </c>
      <c r="J48" s="157"/>
      <c r="K48" s="110"/>
      <c r="L48" s="173"/>
      <c r="M48" s="116"/>
      <c r="N48" s="110"/>
      <c r="O48" s="23">
        <f t="shared" si="1"/>
        <v>0</v>
      </c>
      <c r="R48" s="22" t="s">
        <v>71</v>
      </c>
    </row>
    <row r="49" spans="1:18" ht="51" hidden="1" customHeight="1" outlineLevel="1">
      <c r="A49" s="156">
        <f>ПТО!A8</f>
        <v>0</v>
      </c>
      <c r="B49" s="156"/>
      <c r="C49" s="156"/>
      <c r="D49" s="156"/>
      <c r="E49" s="156"/>
      <c r="F49" s="161" t="e">
        <f>VLOOKUP(A49,ПТО!$A$2:$D$31,4,FALSE)</f>
        <v>#N/A</v>
      </c>
      <c r="G49" s="161"/>
      <c r="H49" s="25" t="e">
        <f>VLOOKUP(A49,ПТО!$A$2:$D$31,2,FALSE)</f>
        <v>#N/A</v>
      </c>
      <c r="I49" s="157" t="e">
        <f>VLOOKUP(A49,ПТО!$A$2:$D$31,3,FALSE)</f>
        <v>#N/A</v>
      </c>
      <c r="J49" s="157"/>
      <c r="K49" s="110"/>
      <c r="L49" s="173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56">
        <f>ПТО!A9</f>
        <v>0</v>
      </c>
      <c r="B50" s="156"/>
      <c r="C50" s="156"/>
      <c r="D50" s="156"/>
      <c r="E50" s="156"/>
      <c r="F50" s="161" t="e">
        <f>VLOOKUP(A50,ПТО!$A$2:$D$31,4,FALSE)</f>
        <v>#N/A</v>
      </c>
      <c r="G50" s="161"/>
      <c r="H50" s="25" t="e">
        <f>VLOOKUP(A50,ПТО!$A$2:$D$31,2,FALSE)</f>
        <v>#N/A</v>
      </c>
      <c r="I50" s="157" t="e">
        <f>VLOOKUP(A50,ПТО!$A$2:$D$31,3,FALSE)</f>
        <v>#N/A</v>
      </c>
      <c r="J50" s="157"/>
      <c r="K50" s="110"/>
      <c r="L50" s="173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56">
        <f>ПТО!A10</f>
        <v>0</v>
      </c>
      <c r="B51" s="156"/>
      <c r="C51" s="156"/>
      <c r="D51" s="156"/>
      <c r="E51" s="156"/>
      <c r="F51" s="161" t="e">
        <f>VLOOKUP(A51,ПТО!$A$2:$D$31,4,FALSE)</f>
        <v>#N/A</v>
      </c>
      <c r="G51" s="161"/>
      <c r="H51" s="25" t="e">
        <f>VLOOKUP(A51,ПТО!$A$2:$D$31,2,FALSE)</f>
        <v>#N/A</v>
      </c>
      <c r="I51" s="157" t="e">
        <f>VLOOKUP(A51,ПТО!$A$2:$D$31,3,FALSE)</f>
        <v>#N/A</v>
      </c>
      <c r="J51" s="157"/>
      <c r="K51" s="110"/>
      <c r="L51" s="173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6">
        <f>ПТО!A11</f>
        <v>0</v>
      </c>
      <c r="B52" s="156"/>
      <c r="C52" s="156"/>
      <c r="D52" s="156"/>
      <c r="E52" s="156"/>
      <c r="F52" s="161" t="e">
        <f>VLOOKUP(A52,ПТО!$A$2:$D$31,4,FALSE)</f>
        <v>#N/A</v>
      </c>
      <c r="G52" s="161"/>
      <c r="H52" s="25" t="e">
        <f>VLOOKUP(A52,ПТО!$A$2:$D$31,2,FALSE)</f>
        <v>#N/A</v>
      </c>
      <c r="I52" s="157" t="e">
        <f>VLOOKUP(A52,ПТО!$A$2:$D$31,3,FALSE)</f>
        <v>#N/A</v>
      </c>
      <c r="J52" s="157"/>
      <c r="K52" s="110"/>
      <c r="L52" s="173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6">
        <f>ПТО!A12</f>
        <v>0</v>
      </c>
      <c r="B53" s="156"/>
      <c r="C53" s="156"/>
      <c r="D53" s="156"/>
      <c r="E53" s="156"/>
      <c r="F53" s="161" t="e">
        <f>VLOOKUP(A53,ПТО!$A$2:$D$31,4,FALSE)</f>
        <v>#N/A</v>
      </c>
      <c r="G53" s="161"/>
      <c r="H53" s="25" t="e">
        <f>VLOOKUP(A53,ПТО!$A$2:$D$31,2,FALSE)</f>
        <v>#N/A</v>
      </c>
      <c r="I53" s="157" t="e">
        <f>VLOOKUP(A53,ПТО!$A$2:$D$31,3,FALSE)</f>
        <v>#N/A</v>
      </c>
      <c r="J53" s="157"/>
      <c r="K53" s="110"/>
      <c r="L53" s="173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61" t="e">
        <f>VLOOKUP(A54,ПТО!$A$2:$D$31,4,FALSE)</f>
        <v>#N/A</v>
      </c>
      <c r="G54" s="161"/>
      <c r="H54" s="25" t="e">
        <f>VLOOKUP(A54,ПТО!$A$2:$D$31,2,FALSE)</f>
        <v>#N/A</v>
      </c>
      <c r="I54" s="157" t="e">
        <f>VLOOKUP(A54,ПТО!$A$2:$D$31,3,FALSE)</f>
        <v>#N/A</v>
      </c>
      <c r="J54" s="157"/>
      <c r="K54" s="110"/>
      <c r="L54" s="173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10"/>
      <c r="L55" s="173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10"/>
      <c r="L56" s="173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10"/>
      <c r="L57" s="173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10"/>
      <c r="L58" s="173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10"/>
      <c r="L59" s="173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10"/>
      <c r="L60" s="173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10"/>
      <c r="L61" s="173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10"/>
      <c r="L62" s="173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10"/>
      <c r="L63" s="173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10"/>
      <c r="L64" s="173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10"/>
      <c r="L65" s="173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10"/>
      <c r="L66" s="173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10"/>
      <c r="L67" s="173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10"/>
      <c r="L68" s="173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10"/>
      <c r="L69" s="173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10"/>
      <c r="L70" s="173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10"/>
      <c r="L72" s="173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4" t="s">
        <v>26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10"/>
      <c r="L75" s="176"/>
      <c r="M75" s="110"/>
      <c r="N75" s="110"/>
      <c r="O75" s="70" t="s">
        <v>99</v>
      </c>
    </row>
    <row r="76" spans="1:16384" ht="18.75" customHeight="1" outlineLevel="1">
      <c r="A76" s="174" t="s">
        <v>27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10"/>
      <c r="L76" s="176"/>
      <c r="M76" s="110"/>
      <c r="N76" s="110"/>
      <c r="O76" s="70" t="s">
        <v>100</v>
      </c>
    </row>
    <row r="77" spans="1:16384" ht="21.75" customHeight="1" outlineLevel="1">
      <c r="A77" s="174" t="s">
        <v>28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10"/>
      <c r="L77" s="176"/>
      <c r="M77" s="110"/>
      <c r="N77" s="110"/>
      <c r="O77" s="70" t="s">
        <v>101</v>
      </c>
    </row>
    <row r="78" spans="1:16384" ht="18.75" customHeight="1" outlineLevel="1">
      <c r="A78" s="174" t="s">
        <v>29</v>
      </c>
      <c r="B78" s="174"/>
      <c r="C78" s="174"/>
      <c r="D78" s="174"/>
      <c r="E78" s="174"/>
      <c r="F78" s="174"/>
      <c r="G78" s="174"/>
      <c r="H78" s="174"/>
      <c r="I78" s="174"/>
      <c r="J78" s="97">
        <f>VLOOKUP(O78,АО,3,FALSE)</f>
        <v>0</v>
      </c>
      <c r="K78" s="110"/>
      <c r="L78" s="176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4" t="s">
        <v>1</v>
      </c>
      <c r="B81" s="154"/>
      <c r="C81" s="154"/>
      <c r="D81" s="154"/>
      <c r="E81" s="154"/>
      <c r="F81" s="154"/>
      <c r="G81" s="154"/>
      <c r="H81" s="154"/>
      <c r="I81" s="154"/>
      <c r="J81" s="97">
        <f t="shared" ref="J81:J90" si="2">VLOOKUP(O81,АО,3,FALSE)</f>
        <v>0</v>
      </c>
      <c r="K81" s="110"/>
      <c r="L81" s="162"/>
      <c r="M81" s="110"/>
      <c r="N81" s="110"/>
      <c r="O81" s="70" t="s">
        <v>103</v>
      </c>
    </row>
    <row r="82" spans="1:15" outlineLevel="1">
      <c r="A82" s="154" t="s">
        <v>2</v>
      </c>
      <c r="B82" s="154"/>
      <c r="C82" s="154"/>
      <c r="D82" s="154"/>
      <c r="E82" s="154"/>
      <c r="F82" s="154"/>
      <c r="G82" s="154"/>
      <c r="H82" s="154"/>
      <c r="I82" s="154"/>
      <c r="J82" s="97">
        <f t="shared" si="2"/>
        <v>0</v>
      </c>
      <c r="K82" s="110"/>
      <c r="L82" s="162"/>
      <c r="M82" s="110"/>
      <c r="N82" s="110"/>
      <c r="O82" s="70" t="s">
        <v>104</v>
      </c>
    </row>
    <row r="83" spans="1:15" outlineLevel="1">
      <c r="A83" s="168" t="s">
        <v>3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133242.64000000001</v>
      </c>
      <c r="K83" s="110"/>
      <c r="L83" s="162"/>
      <c r="M83" s="110"/>
      <c r="N83" s="110"/>
      <c r="O83" s="70" t="s">
        <v>105</v>
      </c>
    </row>
    <row r="84" spans="1:15" outlineLevel="1">
      <c r="A84" s="168" t="s">
        <v>15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10"/>
      <c r="L84" s="162"/>
      <c r="M84" s="110"/>
      <c r="N84" s="110"/>
      <c r="O84" s="70" t="s">
        <v>106</v>
      </c>
    </row>
    <row r="85" spans="1:15" outlineLevel="1">
      <c r="A85" s="168" t="s">
        <v>16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10"/>
      <c r="L85" s="162"/>
      <c r="M85" s="110"/>
      <c r="N85" s="110"/>
      <c r="O85" s="70" t="s">
        <v>107</v>
      </c>
    </row>
    <row r="86" spans="1:15" outlineLevel="1">
      <c r="A86" s="168" t="s">
        <v>17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74057.870000000024</v>
      </c>
      <c r="K86" s="110"/>
      <c r="L86" s="162"/>
      <c r="M86" s="110"/>
      <c r="N86" s="110"/>
      <c r="O86" s="70" t="s">
        <v>108</v>
      </c>
    </row>
    <row r="87" spans="1:15" ht="18.75" customHeight="1" outlineLevel="1">
      <c r="A87" s="168" t="s">
        <v>26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10"/>
      <c r="L87" s="162"/>
      <c r="M87" s="110"/>
      <c r="N87" s="110"/>
      <c r="O87" s="70" t="s">
        <v>109</v>
      </c>
    </row>
    <row r="88" spans="1:15" ht="18.75" customHeight="1" outlineLevel="1">
      <c r="A88" s="168" t="s">
        <v>27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10"/>
      <c r="L88" s="162"/>
      <c r="M88" s="110"/>
      <c r="N88" s="110"/>
      <c r="O88" s="70" t="s">
        <v>110</v>
      </c>
    </row>
    <row r="89" spans="1:15" ht="18.75" customHeight="1" outlineLevel="1">
      <c r="A89" s="168" t="s">
        <v>28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10"/>
      <c r="L89" s="162"/>
      <c r="M89" s="110"/>
      <c r="N89" s="110"/>
      <c r="O89" s="70" t="s">
        <v>111</v>
      </c>
    </row>
    <row r="90" spans="1:15" ht="18.75" customHeight="1" outlineLevel="1">
      <c r="A90" s="168" t="s">
        <v>29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10"/>
      <c r="L90" s="162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77" t="s">
        <v>47</v>
      </c>
      <c r="B93" s="177"/>
      <c r="C93" s="177"/>
      <c r="D93" s="178" t="s">
        <v>48</v>
      </c>
      <c r="E93" s="178"/>
      <c r="F93" s="10" t="s">
        <v>49</v>
      </c>
      <c r="G93" s="177" t="s">
        <v>50</v>
      </c>
      <c r="H93" s="177"/>
      <c r="I93" s="177"/>
      <c r="J93" s="177"/>
      <c r="K93" s="110"/>
      <c r="L93" s="110"/>
      <c r="M93" s="110"/>
      <c r="N93" s="110"/>
    </row>
    <row r="94" spans="1:15" hidden="1" outlineLevel="1">
      <c r="A94" s="158">
        <f>IF(VLOOKUP("эл",АО,3,FALSE)&gt;0,"Электроснабжение",0)</f>
        <v>0</v>
      </c>
      <c r="B94" s="158"/>
      <c r="C94" s="158"/>
      <c r="D94" s="159">
        <f>IF(VLOOKUP("эл",АО,3,FALSE)&gt;0,VLOOKUP("эл",АО,3,FALSE),0)</f>
        <v>0</v>
      </c>
      <c r="E94" s="159"/>
      <c r="F94" s="13">
        <f>IF(VLOOKUP("эл",АО,3,FALSE)&gt;0,VLOOKUP("эл",АО,4,FALSE),0)</f>
        <v>0</v>
      </c>
      <c r="G94" s="160">
        <f>VLOOKUP("эл",АО,5,FALSE)</f>
        <v>0</v>
      </c>
      <c r="H94" s="159"/>
      <c r="I94" s="159"/>
      <c r="J94" s="159"/>
      <c r="K94" s="1" t="str">
        <f>VLOOKUP("эл",АО,2,FALSE)</f>
        <v>Электроснабжение</v>
      </c>
      <c r="L94" s="163"/>
    </row>
    <row r="95" spans="1:15" hidden="1" outlineLevel="2">
      <c r="A95" s="175">
        <f>IF(VLOOKUP("эл",АО,3,FALSE)&gt;0,VLOOKUP("эл1",АО,2,FALSE),0)</f>
        <v>0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0</v>
      </c>
      <c r="L95" s="163"/>
      <c r="O95" s="1" t="s">
        <v>113</v>
      </c>
    </row>
    <row r="96" spans="1:15" hidden="1" outlineLevel="2">
      <c r="A96" s="175">
        <f>IF(VLOOKUP("эл",АО,3,FALSE)&gt;0,VLOOKUP("эл2",АО,2,FALSE),0)</f>
        <v>0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0</v>
      </c>
      <c r="L96" s="163"/>
      <c r="O96" s="1" t="s">
        <v>114</v>
      </c>
    </row>
    <row r="97" spans="1:15" hidden="1" outlineLevel="2">
      <c r="A97" s="175">
        <f>IF(VLOOKUP("эл",АО,3,FALSE)&gt;0,VLOOKUP("эл3",АО,2,FALSE),0)</f>
        <v>0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0</v>
      </c>
      <c r="L97" s="163"/>
      <c r="O97" s="1" t="s">
        <v>115</v>
      </c>
    </row>
    <row r="98" spans="1:15" ht="37.5" hidden="1" customHeight="1" outlineLevel="2">
      <c r="A98" s="175">
        <f>IF(VLOOKUP("эл",АО,3,FALSE)&gt;0,VLOOKUP("эл4",АО,2,FALSE),0)</f>
        <v>0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0</v>
      </c>
      <c r="L98" s="163"/>
      <c r="O98" s="1" t="s">
        <v>116</v>
      </c>
    </row>
    <row r="99" spans="1:15" hidden="1" outlineLevel="2">
      <c r="A99" s="175">
        <f>IF(VLOOKUP("эл",АО,3,FALSE)&gt;0,VLOOKUP("эл5",АО,2,FALSE),0)</f>
        <v>0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0</v>
      </c>
      <c r="L99" s="163"/>
      <c r="O99" s="1" t="s">
        <v>117</v>
      </c>
    </row>
    <row r="100" spans="1:15" ht="39" hidden="1" customHeight="1" outlineLevel="2">
      <c r="A100" s="175">
        <f>IF(VLOOKUP("эл",АО,3,FALSE)&gt;0,VLOOKUP("эл6",АО,2,FALSE),0)</f>
        <v>0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63"/>
      <c r="O100" s="1" t="s">
        <v>118</v>
      </c>
    </row>
    <row r="101" spans="1:15" ht="34.5" hidden="1" customHeight="1" outlineLevel="2">
      <c r="A101" s="175">
        <f>IF(VLOOKUP("эл",АО,3,FALSE)&gt;0,VLOOKUP("эл7",АО,2,FALSE),0)</f>
        <v>0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63"/>
      <c r="O101" s="1" t="s">
        <v>119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60">
        <f>VLOOKUP("хвс",АО,5,FALSE)</f>
        <v>87727.960000000021</v>
      </c>
      <c r="H102" s="159"/>
      <c r="I102" s="159"/>
      <c r="J102" s="159"/>
      <c r="L102" s="163"/>
    </row>
    <row r="103" spans="1:15" outlineLevel="2">
      <c r="A103" s="175" t="str">
        <f t="shared" ref="A103:A109" si="4">IF(VLOOKUP("хвс",АО,3,FALSE)&gt;0,VLOOKUP(O103,АО,2,FALSE),0)</f>
        <v>Общий объем потребления, нат. показ.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5849.1078812602136</v>
      </c>
      <c r="L103" s="163"/>
      <c r="O103" s="1" t="s">
        <v>122</v>
      </c>
    </row>
    <row r="104" spans="1:15" ht="18.75" customHeight="1" outlineLevel="2">
      <c r="A104" s="175" t="str">
        <f t="shared" si="4"/>
        <v>Оплачено потребителями, руб.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113934.69</v>
      </c>
      <c r="L104" s="163"/>
      <c r="O104" s="1" t="s">
        <v>123</v>
      </c>
    </row>
    <row r="105" spans="1:15" ht="18.75" customHeight="1" outlineLevel="2">
      <c r="A105" s="175" t="str">
        <f t="shared" si="4"/>
        <v>Задолженность потребителей, руб.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0</v>
      </c>
      <c r="L105" s="163"/>
      <c r="O105" s="1" t="s">
        <v>124</v>
      </c>
    </row>
    <row r="106" spans="1:15" ht="36.75" customHeight="1" outlineLevel="2">
      <c r="A106" s="175" t="str">
        <f t="shared" si="4"/>
        <v>Начислено поставщиком (поставщиками) коммунального ресурса, руб.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87727.960000000021</v>
      </c>
      <c r="L106" s="163"/>
      <c r="O106" s="1" t="s">
        <v>125</v>
      </c>
    </row>
    <row r="107" spans="1:15" ht="18.75" customHeight="1" outlineLevel="2">
      <c r="A107" s="175" t="str">
        <f t="shared" si="4"/>
        <v>Оплачено поставщику (поставщикам) коммунального ресурса, руб.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87727.960000000021</v>
      </c>
      <c r="L107" s="163"/>
      <c r="O107" s="1" t="s">
        <v>126</v>
      </c>
    </row>
    <row r="108" spans="1:15" ht="37.5" customHeight="1" outlineLevel="2">
      <c r="A108" s="175" t="str">
        <f t="shared" si="4"/>
        <v>Задолженность перед поставщиком (поставщиками) коммунального ресурса, руб.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63"/>
      <c r="O108" s="1" t="s">
        <v>127</v>
      </c>
    </row>
    <row r="109" spans="1:15" ht="39.75" customHeight="1" outlineLevel="2">
      <c r="A109" s="175" t="str">
        <f t="shared" si="4"/>
        <v>Размер пени и штрафов, уплаченных поставщику (поставщикам) коммунального ресурса, руб.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63"/>
      <c r="O109" s="1" t="s">
        <v>128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60">
        <f>VLOOKUP("воо",АО,5,FALSE)</f>
        <v>117065.06999999999</v>
      </c>
      <c r="H110" s="159"/>
      <c r="I110" s="159"/>
      <c r="J110" s="159"/>
      <c r="L110" s="163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7033.218462287894</v>
      </c>
      <c r="L111" s="163"/>
      <c r="O111" s="1" t="s">
        <v>130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139562.80999999997</v>
      </c>
      <c r="L112" s="163"/>
      <c r="O112" s="1" t="s">
        <v>131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63"/>
      <c r="O113" s="1" t="s">
        <v>132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117065.06999999999</v>
      </c>
      <c r="L114" s="163"/>
      <c r="O114" s="1" t="s">
        <v>133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117065.06999999999</v>
      </c>
      <c r="L115" s="163"/>
      <c r="O115" s="1" t="s">
        <v>134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63"/>
      <c r="O116" s="1" t="s">
        <v>135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63"/>
      <c r="O117" s="1" t="s">
        <v>136</v>
      </c>
    </row>
    <row r="118" spans="1:15" ht="32.25" customHeight="1" outlineLevel="1">
      <c r="A118" s="158" t="str">
        <f>IF(VLOOKUP("тко",АО,3,FALSE)&gt;0,"Обращение с ТКО",0)</f>
        <v>Обращение с ТКО</v>
      </c>
      <c r="B118" s="158"/>
      <c r="C118" s="158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60">
        <f>VLOOKUP("тко",АО,5,FALSE)</f>
        <v>81937.910000000018</v>
      </c>
      <c r="H118" s="159"/>
      <c r="I118" s="159"/>
      <c r="J118" s="159"/>
      <c r="L118" s="47"/>
    </row>
    <row r="119" spans="1:15" ht="32.25" customHeight="1" outlineLevel="2">
      <c r="A119" s="154" t="str">
        <f t="shared" ref="A119:A125" si="8">IF(VLOOKUP("тко",АО,3,FALSE)&gt;0,VLOOKUP(O119,АО,2,FALSE),0)</f>
        <v>Общий объем потребления, нат. показ.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161.2173715306615</v>
      </c>
      <c r="L119" s="47"/>
      <c r="O119" s="1" t="s">
        <v>138</v>
      </c>
    </row>
    <row r="120" spans="1:15" ht="32.25" customHeight="1" outlineLevel="2">
      <c r="A120" s="154" t="str">
        <f t="shared" si="8"/>
        <v>Оплачено потребителями, руб.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92418.209999999977</v>
      </c>
      <c r="L120" s="47"/>
      <c r="O120" s="1" t="s">
        <v>139</v>
      </c>
    </row>
    <row r="121" spans="1:15" ht="32.25" customHeight="1" outlineLevel="2">
      <c r="A121" s="154" t="str">
        <f t="shared" si="8"/>
        <v>Задолженность потребителей, руб.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4" t="str">
        <f t="shared" si="8"/>
        <v>Начислено поставщиком (поставщиками) коммунального ресурса, руб.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81937.910000000018</v>
      </c>
      <c r="L122" s="47"/>
      <c r="O122" s="1" t="s">
        <v>141</v>
      </c>
    </row>
    <row r="123" spans="1:15" ht="32.25" customHeight="1" outlineLevel="2">
      <c r="A123" s="154" t="str">
        <f t="shared" si="8"/>
        <v>Оплачено поставщику (поставщикам) коммунального ресурса, руб.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81937.910000000018</v>
      </c>
      <c r="L123" s="47"/>
      <c r="O123" s="1" t="s">
        <v>142</v>
      </c>
    </row>
    <row r="124" spans="1:15" ht="32.25" customHeight="1" outlineLevel="2">
      <c r="A124" s="154" t="str">
        <f t="shared" si="8"/>
        <v>Задолженность перед поставщиком (поставщиками) коммунального ресурса, руб.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4" t="str">
        <f t="shared" si="8"/>
        <v>Размер пени и штрафов, уплаченных поставщику (поставщикам) коммунального ресурса, руб.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60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4">
        <f t="shared" ref="A127:A133" si="10">IF(VLOOKUP("гвс",АО,3,FALSE)&gt;0,VLOOKUP(O127,АО,2,FALSE),0)</f>
        <v>0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4">
        <f t="shared" si="10"/>
        <v>0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4">
        <f t="shared" si="10"/>
        <v>0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4">
        <f t="shared" si="10"/>
        <v>0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4">
        <f t="shared" si="10"/>
        <v>0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4">
        <f t="shared" si="10"/>
        <v>0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4">
        <f t="shared" si="10"/>
        <v>0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4" t="s">
        <v>44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170</v>
      </c>
    </row>
    <row r="145" spans="1:15" ht="18.75" customHeight="1" outlineLevel="1">
      <c r="A145" s="154" t="s">
        <v>45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54" t="s">
        <v>173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0</v>
      </c>
      <c r="O146" t="s">
        <v>172</v>
      </c>
    </row>
    <row r="149" spans="1:15" ht="52.5" customHeight="1">
      <c r="A149" s="179" t="s">
        <v>178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183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1" t="s">
        <v>185</v>
      </c>
      <c r="B154" s="181"/>
      <c r="C154" s="181"/>
      <c r="D154" s="181"/>
      <c r="E154" s="27">
        <f>ПТО!G1</f>
        <v>58865.77</v>
      </c>
    </row>
    <row r="155" spans="1:15" ht="34.5" customHeight="1">
      <c r="A155" s="180" t="s">
        <v>195</v>
      </c>
      <c r="B155" s="180"/>
      <c r="C155" s="180"/>
      <c r="D155" s="180"/>
      <c r="E155" s="28">
        <f>J13</f>
        <v>104460.12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18</v>
      </c>
      <c r="B157" s="164"/>
      <c r="C157" s="164"/>
      <c r="D157" s="164"/>
      <c r="E157" s="164"/>
      <c r="F157" s="164" t="s">
        <v>19</v>
      </c>
      <c r="G157" s="164"/>
      <c r="H157" s="20" t="s">
        <v>56</v>
      </c>
      <c r="I157" s="164" t="s">
        <v>20</v>
      </c>
      <c r="J157" s="164"/>
    </row>
    <row r="158" spans="1:15" ht="29.25" customHeight="1">
      <c r="A158" s="156" t="str">
        <f t="shared" ref="A158:A163" si="14">IF(N158&gt;0,N158,0)</f>
        <v>Техническое освидетельствование лифта.</v>
      </c>
      <c r="B158" s="156"/>
      <c r="C158" s="156"/>
      <c r="D158" s="156"/>
      <c r="E158" s="156"/>
      <c r="F158" s="161">
        <f t="shared" ref="F158:F163" si="15">IF(ISERROR(VLOOKUP(A158,$A$28:$J$72,6,FALSE)),0,VLOOKUP(A158,$A$28:$J$72,6,FALSE))</f>
        <v>8100</v>
      </c>
      <c r="G158" s="161"/>
      <c r="H158" s="24" t="str">
        <f t="shared" ref="H158:H187" si="16">VLOOKUP(A158,$A$28:$J$72,8,FALSE)</f>
        <v>ежегодно</v>
      </c>
      <c r="I158" s="157">
        <f t="shared" ref="I158:I161" si="17">VLOOKUP(A158,$A$28:$J$72,9,FALSE)</f>
        <v>1</v>
      </c>
      <c r="J158" s="157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6" t="str">
        <f t="shared" si="14"/>
        <v>Техническое обслуживание охранной сигнализации.</v>
      </c>
      <c r="B159" s="156"/>
      <c r="C159" s="156"/>
      <c r="D159" s="156"/>
      <c r="E159" s="156"/>
      <c r="F159" s="161">
        <f t="shared" si="15"/>
        <v>9450</v>
      </c>
      <c r="G159" s="161"/>
      <c r="H159" s="24" t="str">
        <f t="shared" si="16"/>
        <v>ежемесячно</v>
      </c>
      <c r="I159" s="157">
        <f t="shared" si="17"/>
        <v>12</v>
      </c>
      <c r="J159" s="157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6" t="str">
        <f t="shared" si="14"/>
        <v>Механизированная уборка и вывоз снега с придомовой территории.</v>
      </c>
      <c r="B160" s="156"/>
      <c r="C160" s="156"/>
      <c r="D160" s="156"/>
      <c r="E160" s="156"/>
      <c r="F160" s="161">
        <f t="shared" si="15"/>
        <v>9917</v>
      </c>
      <c r="G160" s="161"/>
      <c r="H160" s="24" t="str">
        <f t="shared" si="16"/>
        <v>разово</v>
      </c>
      <c r="I160" s="157">
        <f t="shared" si="17"/>
        <v>1</v>
      </c>
      <c r="J160" s="157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6">
        <f>IF(N161&gt;0,N161,0)</f>
        <v>0</v>
      </c>
      <c r="B161" s="156"/>
      <c r="C161" s="156"/>
      <c r="D161" s="156"/>
      <c r="E161" s="156"/>
      <c r="F161" s="161">
        <f t="shared" si="15"/>
        <v>0</v>
      </c>
      <c r="G161" s="161"/>
      <c r="H161" s="24" t="e">
        <f t="shared" si="16"/>
        <v>#N/A</v>
      </c>
      <c r="I161" s="157" t="e">
        <f t="shared" si="17"/>
        <v>#N/A</v>
      </c>
      <c r="J161" s="157"/>
      <c r="M161" s="22" t="s">
        <v>71</v>
      </c>
      <c r="N161" s="1">
        <v>0</v>
      </c>
    </row>
    <row r="162" spans="1:14" ht="28.5" hidden="1" customHeight="1">
      <c r="A162" s="156">
        <f t="shared" si="14"/>
        <v>0</v>
      </c>
      <c r="B162" s="156"/>
      <c r="C162" s="156"/>
      <c r="D162" s="156"/>
      <c r="E162" s="156"/>
      <c r="F162" s="161">
        <f t="shared" si="15"/>
        <v>0</v>
      </c>
      <c r="G162" s="161"/>
      <c r="H162" s="24" t="e">
        <f t="shared" si="16"/>
        <v>#N/A</v>
      </c>
      <c r="I162" s="157" t="e">
        <f>VLOOKUP(A162,$A$28:$J$72,9,FALSE)</f>
        <v>#N/A</v>
      </c>
      <c r="J162" s="157"/>
      <c r="M162" s="22" t="s">
        <v>71</v>
      </c>
      <c r="N162" s="1">
        <v>0</v>
      </c>
    </row>
    <row r="163" spans="1:14" ht="28.5" hidden="1" customHeight="1">
      <c r="A163" s="156">
        <f t="shared" si="14"/>
        <v>0</v>
      </c>
      <c r="B163" s="156"/>
      <c r="C163" s="156"/>
      <c r="D163" s="156"/>
      <c r="E163" s="156"/>
      <c r="F163" s="161">
        <f t="shared" si="15"/>
        <v>0</v>
      </c>
      <c r="G163" s="161"/>
      <c r="H163" s="24" t="e">
        <f t="shared" si="16"/>
        <v>#N/A</v>
      </c>
      <c r="I163" s="157" t="e">
        <f>VLOOKUP(A163,$A$28:$J$72,9,FALSE)</f>
        <v>#N/A</v>
      </c>
      <c r="J163" s="157"/>
      <c r="M163" s="22" t="s">
        <v>71</v>
      </c>
      <c r="N163" s="1">
        <v>0</v>
      </c>
    </row>
    <row r="164" spans="1:14" ht="28.5" hidden="1" customHeight="1">
      <c r="A164" s="156">
        <f t="shared" ref="A164:A187" si="18">IF(N164&gt;0,N164,0)</f>
        <v>0</v>
      </c>
      <c r="B164" s="156"/>
      <c r="C164" s="156"/>
      <c r="D164" s="156"/>
      <c r="E164" s="156"/>
      <c r="F164" s="161">
        <f t="shared" ref="F164:F187" si="19">IF(ISERROR(VLOOKUP(A164,$A$28:$J$72,6,FALSE)),0,VLOOKUP(A164,$A$28:$J$72,6,FALSE))</f>
        <v>0</v>
      </c>
      <c r="G164" s="161"/>
      <c r="H164" s="29" t="e">
        <f t="shared" si="16"/>
        <v>#N/A</v>
      </c>
      <c r="I164" s="157" t="e">
        <f t="shared" ref="I164:I187" si="20">VLOOKUP(A164,$A$28:$J$72,9,FALSE)</f>
        <v>#N/A</v>
      </c>
      <c r="J164" s="157"/>
      <c r="M164" s="22" t="s">
        <v>71</v>
      </c>
      <c r="N164" s="1">
        <v>0</v>
      </c>
    </row>
    <row r="165" spans="1:14" ht="28.5" hidden="1" customHeight="1">
      <c r="A165" s="156">
        <f t="shared" si="18"/>
        <v>0</v>
      </c>
      <c r="B165" s="156"/>
      <c r="C165" s="156"/>
      <c r="D165" s="156"/>
      <c r="E165" s="156"/>
      <c r="F165" s="161">
        <f t="shared" si="19"/>
        <v>0</v>
      </c>
      <c r="G165" s="161"/>
      <c r="H165" s="29" t="e">
        <f t="shared" si="16"/>
        <v>#N/A</v>
      </c>
      <c r="I165" s="157" t="e">
        <f t="shared" si="20"/>
        <v>#N/A</v>
      </c>
      <c r="J165" s="157"/>
      <c r="M165" s="22" t="s">
        <v>71</v>
      </c>
      <c r="N165" s="1">
        <v>0</v>
      </c>
    </row>
    <row r="166" spans="1:14" ht="28.5" hidden="1" customHeight="1">
      <c r="A166" s="156">
        <f t="shared" si="18"/>
        <v>0</v>
      </c>
      <c r="B166" s="156"/>
      <c r="C166" s="156"/>
      <c r="D166" s="156"/>
      <c r="E166" s="156"/>
      <c r="F166" s="161">
        <f t="shared" si="19"/>
        <v>0</v>
      </c>
      <c r="G166" s="161"/>
      <c r="H166" s="29" t="e">
        <f t="shared" si="16"/>
        <v>#N/A</v>
      </c>
      <c r="I166" s="157" t="e">
        <f t="shared" si="20"/>
        <v>#N/A</v>
      </c>
      <c r="J166" s="157"/>
      <c r="M166" s="22" t="s">
        <v>71</v>
      </c>
      <c r="N166" s="1">
        <v>0</v>
      </c>
    </row>
    <row r="167" spans="1:14" ht="28.5" hidden="1" customHeight="1">
      <c r="A167" s="156">
        <f t="shared" si="18"/>
        <v>0</v>
      </c>
      <c r="B167" s="156"/>
      <c r="C167" s="156"/>
      <c r="D167" s="156"/>
      <c r="E167" s="156"/>
      <c r="F167" s="161">
        <f t="shared" si="19"/>
        <v>0</v>
      </c>
      <c r="G167" s="161"/>
      <c r="H167" s="29" t="e">
        <f t="shared" si="16"/>
        <v>#N/A</v>
      </c>
      <c r="I167" s="157" t="e">
        <f t="shared" si="20"/>
        <v>#N/A</v>
      </c>
      <c r="J167" s="157"/>
      <c r="M167" s="22" t="s">
        <v>71</v>
      </c>
      <c r="N167" s="1">
        <v>0</v>
      </c>
    </row>
    <row r="168" spans="1:14" ht="28.5" hidden="1" customHeight="1">
      <c r="A168" s="156">
        <f t="shared" si="18"/>
        <v>0</v>
      </c>
      <c r="B168" s="156"/>
      <c r="C168" s="156"/>
      <c r="D168" s="156"/>
      <c r="E168" s="156"/>
      <c r="F168" s="161">
        <f t="shared" si="19"/>
        <v>0</v>
      </c>
      <c r="G168" s="161"/>
      <c r="H168" s="29" t="e">
        <f t="shared" si="16"/>
        <v>#N/A</v>
      </c>
      <c r="I168" s="157" t="e">
        <f t="shared" si="20"/>
        <v>#N/A</v>
      </c>
      <c r="J168" s="157"/>
      <c r="M168" s="22" t="s">
        <v>71</v>
      </c>
      <c r="N168" s="1">
        <v>0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61">
        <f t="shared" si="19"/>
        <v>0</v>
      </c>
      <c r="G169" s="161"/>
      <c r="H169" s="29" t="e">
        <f t="shared" si="16"/>
        <v>#N/A</v>
      </c>
      <c r="I169" s="157" t="e">
        <f t="shared" si="20"/>
        <v>#N/A</v>
      </c>
      <c r="J169" s="157"/>
      <c r="M169" s="22" t="s">
        <v>71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61">
        <f t="shared" si="19"/>
        <v>0</v>
      </c>
      <c r="G170" s="161"/>
      <c r="H170" s="29" t="e">
        <f t="shared" si="16"/>
        <v>#N/A</v>
      </c>
      <c r="I170" s="157" t="e">
        <f t="shared" si="20"/>
        <v>#N/A</v>
      </c>
      <c r="J170" s="157"/>
      <c r="M170" s="22" t="s">
        <v>71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61">
        <f t="shared" si="19"/>
        <v>0</v>
      </c>
      <c r="G171" s="161"/>
      <c r="H171" s="29" t="e">
        <f t="shared" si="16"/>
        <v>#N/A</v>
      </c>
      <c r="I171" s="157" t="e">
        <f t="shared" si="20"/>
        <v>#N/A</v>
      </c>
      <c r="J171" s="157"/>
      <c r="M171" s="22" t="s">
        <v>71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61">
        <f t="shared" si="19"/>
        <v>0</v>
      </c>
      <c r="G172" s="161"/>
      <c r="H172" s="29" t="e">
        <f t="shared" si="16"/>
        <v>#N/A</v>
      </c>
      <c r="I172" s="157" t="e">
        <f t="shared" si="20"/>
        <v>#N/A</v>
      </c>
      <c r="J172" s="157"/>
      <c r="M172" s="22" t="s">
        <v>71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61">
        <f t="shared" si="19"/>
        <v>0</v>
      </c>
      <c r="G173" s="161"/>
      <c r="H173" s="29" t="e">
        <f t="shared" si="16"/>
        <v>#N/A</v>
      </c>
      <c r="I173" s="157" t="e">
        <f t="shared" si="20"/>
        <v>#N/A</v>
      </c>
      <c r="J173" s="157"/>
      <c r="M173" s="22" t="s">
        <v>71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61">
        <f t="shared" si="19"/>
        <v>0</v>
      </c>
      <c r="G174" s="161"/>
      <c r="H174" s="29" t="e">
        <f t="shared" si="16"/>
        <v>#N/A</v>
      </c>
      <c r="I174" s="157" t="e">
        <f t="shared" si="20"/>
        <v>#N/A</v>
      </c>
      <c r="J174" s="157"/>
      <c r="M174" s="22" t="s">
        <v>71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61">
        <f t="shared" si="19"/>
        <v>0</v>
      </c>
      <c r="G175" s="161"/>
      <c r="H175" s="29" t="e">
        <f t="shared" si="16"/>
        <v>#N/A</v>
      </c>
      <c r="I175" s="157" t="e">
        <f t="shared" si="20"/>
        <v>#N/A</v>
      </c>
      <c r="J175" s="157"/>
      <c r="M175" s="22" t="s">
        <v>71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61">
        <f t="shared" si="19"/>
        <v>0</v>
      </c>
      <c r="G176" s="161"/>
      <c r="H176" s="29" t="e">
        <f t="shared" si="16"/>
        <v>#N/A</v>
      </c>
      <c r="I176" s="157" t="e">
        <f t="shared" si="20"/>
        <v>#N/A</v>
      </c>
      <c r="J176" s="157"/>
      <c r="M176" s="22" t="s">
        <v>71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61">
        <f t="shared" si="19"/>
        <v>0</v>
      </c>
      <c r="G177" s="161"/>
      <c r="H177" s="29" t="e">
        <f t="shared" si="16"/>
        <v>#N/A</v>
      </c>
      <c r="I177" s="157" t="e">
        <f t="shared" si="20"/>
        <v>#N/A</v>
      </c>
      <c r="J177" s="157"/>
      <c r="M177" s="22" t="s">
        <v>71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61">
        <f t="shared" si="19"/>
        <v>0</v>
      </c>
      <c r="G178" s="161"/>
      <c r="H178" s="29" t="e">
        <f t="shared" si="16"/>
        <v>#N/A</v>
      </c>
      <c r="I178" s="157" t="e">
        <f t="shared" si="20"/>
        <v>#N/A</v>
      </c>
      <c r="J178" s="157"/>
      <c r="M178" s="22" t="s">
        <v>71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61">
        <f t="shared" si="19"/>
        <v>0</v>
      </c>
      <c r="G179" s="161"/>
      <c r="H179" s="29" t="e">
        <f t="shared" si="16"/>
        <v>#N/A</v>
      </c>
      <c r="I179" s="157" t="e">
        <f t="shared" si="20"/>
        <v>#N/A</v>
      </c>
      <c r="J179" s="157"/>
      <c r="M179" s="22" t="s">
        <v>71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61">
        <f t="shared" si="19"/>
        <v>0</v>
      </c>
      <c r="G180" s="161"/>
      <c r="H180" s="29" t="e">
        <f t="shared" si="16"/>
        <v>#N/A</v>
      </c>
      <c r="I180" s="157" t="e">
        <f t="shared" si="20"/>
        <v>#N/A</v>
      </c>
      <c r="J180" s="157"/>
      <c r="M180" s="22" t="s">
        <v>71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61">
        <f t="shared" si="19"/>
        <v>0</v>
      </c>
      <c r="G181" s="161"/>
      <c r="H181" s="29" t="e">
        <f t="shared" si="16"/>
        <v>#N/A</v>
      </c>
      <c r="I181" s="157" t="e">
        <f t="shared" si="20"/>
        <v>#N/A</v>
      </c>
      <c r="J181" s="157"/>
      <c r="M181" s="22" t="s">
        <v>71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61">
        <f t="shared" si="19"/>
        <v>0</v>
      </c>
      <c r="G182" s="161"/>
      <c r="H182" s="29" t="e">
        <f t="shared" si="16"/>
        <v>#N/A</v>
      </c>
      <c r="I182" s="157" t="e">
        <f t="shared" si="20"/>
        <v>#N/A</v>
      </c>
      <c r="J182" s="157"/>
      <c r="M182" s="22" t="s">
        <v>71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61">
        <f t="shared" si="19"/>
        <v>0</v>
      </c>
      <c r="G183" s="161"/>
      <c r="H183" s="29" t="e">
        <f t="shared" si="16"/>
        <v>#N/A</v>
      </c>
      <c r="I183" s="157" t="e">
        <f t="shared" si="20"/>
        <v>#N/A</v>
      </c>
      <c r="J183" s="157"/>
      <c r="M183" s="22" t="s">
        <v>71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61">
        <f t="shared" si="19"/>
        <v>0</v>
      </c>
      <c r="G184" s="161"/>
      <c r="H184" s="29" t="e">
        <f t="shared" si="16"/>
        <v>#N/A</v>
      </c>
      <c r="I184" s="157" t="e">
        <f t="shared" si="20"/>
        <v>#N/A</v>
      </c>
      <c r="J184" s="157"/>
      <c r="M184" s="22" t="s">
        <v>71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61">
        <f t="shared" si="19"/>
        <v>0</v>
      </c>
      <c r="G185" s="161"/>
      <c r="H185" s="29" t="e">
        <f t="shared" si="16"/>
        <v>#N/A</v>
      </c>
      <c r="I185" s="157" t="e">
        <f t="shared" si="20"/>
        <v>#N/A</v>
      </c>
      <c r="J185" s="157"/>
      <c r="M185" s="22" t="s">
        <v>71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61">
        <f t="shared" si="19"/>
        <v>0</v>
      </c>
      <c r="G186" s="161"/>
      <c r="H186" s="29" t="e">
        <f t="shared" si="16"/>
        <v>#N/A</v>
      </c>
      <c r="I186" s="157" t="e">
        <f t="shared" si="20"/>
        <v>#N/A</v>
      </c>
      <c r="J186" s="157"/>
      <c r="M186" s="22" t="s">
        <v>71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61">
        <f t="shared" si="19"/>
        <v>0</v>
      </c>
      <c r="G187" s="161"/>
      <c r="H187" s="29" t="e">
        <f t="shared" si="16"/>
        <v>#N/A</v>
      </c>
      <c r="I187" s="157" t="e">
        <f t="shared" si="20"/>
        <v>#N/A</v>
      </c>
      <c r="J187" s="157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81" t="s">
        <v>194</v>
      </c>
      <c r="B190" s="181"/>
      <c r="C190" s="181"/>
      <c r="D190" s="181"/>
      <c r="E190" s="27">
        <f>SUM(F158:G187)</f>
        <v>27467</v>
      </c>
    </row>
    <row r="191" spans="1:14" ht="51.75" customHeight="1">
      <c r="A191" s="181" t="s">
        <v>193</v>
      </c>
      <c r="B191" s="181"/>
      <c r="C191" s="181"/>
      <c r="D191" s="181"/>
      <c r="E191" s="27">
        <f>E190+E154-E155</f>
        <v>-18127.350000000006</v>
      </c>
    </row>
    <row r="192" spans="1:14">
      <c r="A192" s="105" t="s">
        <v>174</v>
      </c>
    </row>
    <row r="193" spans="1:10" ht="62.25" customHeight="1">
      <c r="A193" s="155" t="s">
        <v>186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>
      <c r="A194" s="153" t="str">
        <f>ПТО!F12</f>
        <v xml:space="preserve">  -  поверка (замена) манометров и термометров</v>
      </c>
      <c r="B194" s="153"/>
      <c r="C194" s="153"/>
      <c r="D194" s="153"/>
      <c r="E194" s="153"/>
      <c r="F194" s="153"/>
      <c r="G194" s="153"/>
      <c r="H194" s="49">
        <f>ПТО!G12</f>
        <v>1200</v>
      </c>
      <c r="I194" s="50" t="s">
        <v>74</v>
      </c>
    </row>
    <row r="195" spans="1:10" ht="18.75" customHeight="1">
      <c r="A195" s="153" t="str">
        <f>ПТО!F13</f>
        <v xml:space="preserve">  -  техническое освидетельствование лифта</v>
      </c>
      <c r="B195" s="153"/>
      <c r="C195" s="153"/>
      <c r="D195" s="153"/>
      <c r="E195" s="153"/>
      <c r="F195" s="153"/>
      <c r="G195" s="153"/>
      <c r="H195" s="49">
        <f>ПТО!G13</f>
        <v>8100</v>
      </c>
      <c r="I195" s="50" t="s">
        <v>74</v>
      </c>
    </row>
    <row r="196" spans="1:10" ht="18.75" customHeight="1">
      <c r="A196" s="153" t="str">
        <f>ПТО!F14</f>
        <v xml:space="preserve">  -  техническое обслуживание охранной сигнализации</v>
      </c>
      <c r="B196" s="153"/>
      <c r="C196" s="153"/>
      <c r="D196" s="153"/>
      <c r="E196" s="153"/>
      <c r="F196" s="153"/>
      <c r="G196" s="153"/>
      <c r="H196" s="49">
        <f>ПТО!G14</f>
        <v>9450</v>
      </c>
      <c r="I196" s="50" t="s">
        <v>74</v>
      </c>
    </row>
    <row r="197" spans="1:10" ht="35.25" customHeight="1">
      <c r="A197" s="153" t="str">
        <f>ПТО!F15</f>
        <v xml:space="preserve">  -  механизированная уборка и вывоз снега с придомовой территории</v>
      </c>
      <c r="B197" s="153"/>
      <c r="C197" s="153"/>
      <c r="D197" s="153"/>
      <c r="E197" s="153"/>
      <c r="F197" s="153"/>
      <c r="G197" s="153"/>
      <c r="H197" s="49">
        <f>ПТО!G15</f>
        <v>10000</v>
      </c>
      <c r="I197" s="50" t="s">
        <v>74</v>
      </c>
    </row>
    <row r="198" spans="1:10" ht="18.75" hidden="1" customHeight="1">
      <c r="A198" s="153">
        <f>ПТО!F16</f>
        <v>0</v>
      </c>
      <c r="B198" s="153"/>
      <c r="C198" s="153"/>
      <c r="D198" s="153"/>
      <c r="E198" s="153"/>
      <c r="F198" s="153"/>
      <c r="G198" s="153"/>
      <c r="H198" s="49">
        <f>ПТО!G16</f>
        <v>0</v>
      </c>
      <c r="I198" s="52" t="s">
        <v>74</v>
      </c>
    </row>
    <row r="199" spans="1:10" ht="18.75" hidden="1" customHeight="1">
      <c r="A199" s="153">
        <f>ПТО!F17</f>
        <v>0</v>
      </c>
      <c r="B199" s="153"/>
      <c r="C199" s="153"/>
      <c r="D199" s="153"/>
      <c r="E199" s="153"/>
      <c r="F199" s="153"/>
      <c r="G199" s="153"/>
      <c r="H199" s="49">
        <f>ПТО!G17</f>
        <v>0</v>
      </c>
      <c r="I199" s="50" t="s">
        <v>74</v>
      </c>
    </row>
    <row r="200" spans="1:10" hidden="1">
      <c r="A200" s="153">
        <f>ПТО!F18</f>
        <v>0</v>
      </c>
      <c r="B200" s="153"/>
      <c r="C200" s="153"/>
      <c r="D200" s="153"/>
      <c r="E200" s="153"/>
      <c r="F200" s="153"/>
      <c r="G200" s="153"/>
      <c r="H200" s="49">
        <f>ПТО!G18</f>
        <v>0</v>
      </c>
      <c r="I200" s="50" t="s">
        <v>74</v>
      </c>
    </row>
    <row r="201" spans="1:10" hidden="1">
      <c r="A201" s="153">
        <f>ПТО!F19</f>
        <v>0</v>
      </c>
      <c r="B201" s="153"/>
      <c r="C201" s="153"/>
      <c r="D201" s="153"/>
      <c r="E201" s="153"/>
      <c r="F201" s="153"/>
      <c r="G201" s="153"/>
      <c r="H201" s="49">
        <f>ПТО!G19</f>
        <v>0</v>
      </c>
      <c r="I201" s="50" t="s">
        <v>74</v>
      </c>
    </row>
    <row r="202" spans="1:10" hidden="1">
      <c r="A202" s="153">
        <f>ПТО!F20</f>
        <v>0</v>
      </c>
      <c r="B202" s="153"/>
      <c r="C202" s="153"/>
      <c r="D202" s="153"/>
      <c r="E202" s="153"/>
      <c r="F202" s="153"/>
      <c r="G202" s="153"/>
      <c r="H202" s="49">
        <f>ПТО!G20</f>
        <v>0</v>
      </c>
      <c r="I202" s="50" t="s">
        <v>74</v>
      </c>
    </row>
    <row r="203" spans="1:10" hidden="1">
      <c r="A203" s="153">
        <f>ПТО!F21</f>
        <v>0</v>
      </c>
      <c r="B203" s="153"/>
      <c r="C203" s="153"/>
      <c r="D203" s="153"/>
      <c r="E203" s="153"/>
      <c r="F203" s="153"/>
      <c r="G203" s="153"/>
      <c r="H203" s="49">
        <f>ПТО!G21</f>
        <v>0</v>
      </c>
      <c r="I203" s="50" t="s">
        <v>74</v>
      </c>
    </row>
    <row r="204" spans="1:10" hidden="1">
      <c r="A204" s="153">
        <f>ПТО!F22</f>
        <v>0</v>
      </c>
      <c r="B204" s="153"/>
      <c r="C204" s="153"/>
      <c r="D204" s="153"/>
      <c r="E204" s="153"/>
      <c r="F204" s="153"/>
      <c r="G204" s="153"/>
      <c r="H204" s="49">
        <f>ПТО!G22</f>
        <v>0</v>
      </c>
      <c r="I204" s="50" t="s">
        <v>74</v>
      </c>
    </row>
    <row r="205" spans="1:10" hidden="1">
      <c r="A205" s="153">
        <f>ПТО!F23</f>
        <v>0</v>
      </c>
      <c r="B205" s="153"/>
      <c r="C205" s="153"/>
      <c r="D205" s="153"/>
      <c r="E205" s="153"/>
      <c r="F205" s="153"/>
      <c r="G205" s="153"/>
      <c r="H205" s="49">
        <f>ПТО!G23</f>
        <v>0</v>
      </c>
      <c r="I205" s="50" t="s">
        <v>74</v>
      </c>
    </row>
    <row r="206" spans="1:10" hidden="1">
      <c r="A206" s="153">
        <f>ПТО!F24</f>
        <v>0</v>
      </c>
      <c r="B206" s="153"/>
      <c r="C206" s="153"/>
      <c r="D206" s="153"/>
      <c r="E206" s="153"/>
      <c r="F206" s="153"/>
      <c r="G206" s="153"/>
      <c r="H206" s="49">
        <f>ПТО!G24</f>
        <v>0</v>
      </c>
      <c r="I206" s="50" t="s">
        <v>74</v>
      </c>
    </row>
    <row r="207" spans="1:10" hidden="1">
      <c r="A207" s="153">
        <f>ПТО!F25</f>
        <v>0</v>
      </c>
      <c r="B207" s="153"/>
      <c r="C207" s="153"/>
      <c r="D207" s="153"/>
      <c r="E207" s="153"/>
      <c r="F207" s="153"/>
      <c r="G207" s="153"/>
      <c r="H207" s="49">
        <f>ПТО!G25</f>
        <v>0</v>
      </c>
      <c r="I207" s="50" t="s">
        <v>74</v>
      </c>
    </row>
    <row r="208" spans="1:10" hidden="1">
      <c r="A208" s="153">
        <f>ПТО!F26</f>
        <v>0</v>
      </c>
      <c r="B208" s="153"/>
      <c r="C208" s="153"/>
      <c r="D208" s="153"/>
      <c r="E208" s="153"/>
      <c r="F208" s="153"/>
      <c r="G208" s="153"/>
      <c r="H208" s="49">
        <f>ПТО!G26</f>
        <v>0</v>
      </c>
      <c r="I208" s="50" t="s">
        <v>74</v>
      </c>
    </row>
    <row r="209" spans="1:9" hidden="1">
      <c r="A209" s="153">
        <f>ПТО!F27</f>
        <v>0</v>
      </c>
      <c r="B209" s="153"/>
      <c r="C209" s="153"/>
      <c r="D209" s="153"/>
      <c r="E209" s="153"/>
      <c r="F209" s="153"/>
      <c r="G209" s="153"/>
      <c r="H209" s="49">
        <f>ПТО!G27</f>
        <v>0</v>
      </c>
      <c r="I209" s="50" t="s">
        <v>74</v>
      </c>
    </row>
    <row r="210" spans="1:9" hidden="1">
      <c r="A210" s="153">
        <f>ПТО!F28</f>
        <v>0</v>
      </c>
      <c r="B210" s="153"/>
      <c r="C210" s="153"/>
      <c r="D210" s="153"/>
      <c r="E210" s="153"/>
      <c r="F210" s="153"/>
      <c r="G210" s="153"/>
      <c r="H210" s="49">
        <f>ПТО!G28</f>
        <v>0</v>
      </c>
      <c r="I210" s="50" t="s">
        <v>74</v>
      </c>
    </row>
    <row r="211" spans="1:9" hidden="1">
      <c r="A211" s="153">
        <f>ПТО!F29</f>
        <v>0</v>
      </c>
      <c r="B211" s="153"/>
      <c r="C211" s="153"/>
      <c r="D211" s="153"/>
      <c r="E211" s="153"/>
      <c r="F211" s="153"/>
      <c r="G211" s="153"/>
      <c r="H211" s="49">
        <f>ПТО!G29</f>
        <v>0</v>
      </c>
      <c r="I211" s="50" t="s">
        <v>74</v>
      </c>
    </row>
    <row r="212" spans="1:9" hidden="1">
      <c r="A212" s="153">
        <f>ПТО!F30</f>
        <v>0</v>
      </c>
      <c r="B212" s="153"/>
      <c r="C212" s="153"/>
      <c r="D212" s="153"/>
      <c r="E212" s="153"/>
      <c r="F212" s="153"/>
      <c r="G212" s="153"/>
      <c r="H212" s="49">
        <f>ПТО!G30</f>
        <v>0</v>
      </c>
      <c r="I212" s="50" t="s">
        <v>74</v>
      </c>
    </row>
    <row r="213" spans="1:9" hidden="1">
      <c r="A213" s="153">
        <f>ПТО!F31</f>
        <v>0</v>
      </c>
      <c r="B213" s="153"/>
      <c r="C213" s="153"/>
      <c r="D213" s="153"/>
      <c r="E213" s="153"/>
      <c r="F213" s="153"/>
      <c r="G213" s="153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28750</v>
      </c>
      <c r="I214" s="56" t="s">
        <v>77</v>
      </c>
    </row>
  </sheetData>
  <sheetProtection algorithmName="SHA-512" hashValue="dE4nlrZ6gNT02xIuMACe4RaLLut2byTf+XuL8CYyNOUKBrpkjB05ZKTS+YGUDGl2hDsZxLVpeTqz8i6EFODKRg==" saltValue="elb/A5VBcidT+BricOpe+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6" sqref="G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185</v>
      </c>
      <c r="G1" s="102">
        <f>58865.77</f>
        <v>58865.77</v>
      </c>
    </row>
    <row r="2" spans="1:12" ht="18.75" customHeight="1">
      <c r="A2" s="147" t="s">
        <v>72</v>
      </c>
      <c r="B2" s="148" t="s">
        <v>180</v>
      </c>
      <c r="C2" s="148">
        <v>1</v>
      </c>
      <c r="D2" s="118">
        <v>8100</v>
      </c>
      <c r="E2" s="149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179</v>
      </c>
      <c r="B3" s="148" t="s">
        <v>181</v>
      </c>
      <c r="C3" s="150">
        <v>12</v>
      </c>
      <c r="D3" s="151">
        <f>1750*12*0.45</f>
        <v>9450</v>
      </c>
      <c r="E3" s="149" t="s">
        <v>191</v>
      </c>
      <c r="F3" s="30"/>
      <c r="G3" s="30"/>
      <c r="L3" s="33" t="str">
        <f t="shared" si="0"/>
        <v>ТР</v>
      </c>
    </row>
    <row r="4" spans="1:12" ht="18.75" customHeight="1">
      <c r="A4" s="141" t="s">
        <v>187</v>
      </c>
      <c r="B4" s="142" t="s">
        <v>188</v>
      </c>
      <c r="C4" s="143">
        <v>1</v>
      </c>
      <c r="D4" s="144">
        <v>9917</v>
      </c>
      <c r="E4" s="145" t="s">
        <v>189</v>
      </c>
      <c r="F4" s="30"/>
      <c r="G4" s="30"/>
      <c r="L4" s="33" t="str">
        <f t="shared" si="0"/>
        <v>ТР</v>
      </c>
    </row>
    <row r="5" spans="1:12" ht="34.5" customHeight="1">
      <c r="A5" s="139"/>
      <c r="B5" s="128"/>
      <c r="C5" s="129"/>
      <c r="D5" s="118"/>
      <c r="E5" s="140"/>
      <c r="F5" s="44"/>
      <c r="G5" s="44"/>
      <c r="K5" s="46"/>
      <c r="L5" s="33">
        <f t="shared" si="0"/>
        <v>0</v>
      </c>
    </row>
    <row r="6" spans="1:12" ht="18.75" customHeight="1">
      <c r="A6" s="130"/>
      <c r="B6" s="128"/>
      <c r="C6" s="129"/>
      <c r="D6" s="118"/>
      <c r="E6" s="132"/>
      <c r="F6" s="44"/>
      <c r="G6" s="44"/>
      <c r="K6" s="46"/>
      <c r="L6" s="33">
        <f t="shared" si="0"/>
        <v>0</v>
      </c>
    </row>
    <row r="7" spans="1:12" ht="18.75" customHeight="1">
      <c r="A7" s="134"/>
      <c r="B7" s="131"/>
      <c r="C7" s="124"/>
      <c r="D7" s="122"/>
      <c r="E7" s="132"/>
      <c r="F7" s="45"/>
      <c r="G7" s="45"/>
      <c r="K7" s="46"/>
      <c r="L7" s="33">
        <f t="shared" si="0"/>
        <v>0</v>
      </c>
    </row>
    <row r="8" spans="1:12" ht="18.75" customHeight="1">
      <c r="A8" s="133"/>
      <c r="B8" s="135"/>
      <c r="C8" s="123"/>
      <c r="D8" s="125"/>
      <c r="E8" s="136"/>
      <c r="F8" s="45"/>
      <c r="G8" s="45"/>
      <c r="K8" s="43"/>
      <c r="L8" s="33">
        <f t="shared" si="0"/>
        <v>0</v>
      </c>
    </row>
    <row r="9" spans="1:12">
      <c r="A9" s="119"/>
      <c r="B9" s="123"/>
      <c r="C9" s="124"/>
      <c r="D9" s="120"/>
      <c r="E9" s="121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186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26" t="s">
        <v>184</v>
      </c>
      <c r="G14" s="127">
        <v>9450</v>
      </c>
      <c r="L14" s="33">
        <f t="shared" si="0"/>
        <v>0</v>
      </c>
    </row>
    <row r="15" spans="1:12" ht="31.5">
      <c r="A15" s="30"/>
      <c r="F15" s="126" t="s">
        <v>192</v>
      </c>
      <c r="G15" s="152">
        <v>10000</v>
      </c>
      <c r="L15" s="33">
        <f t="shared" si="0"/>
        <v>0</v>
      </c>
    </row>
    <row r="16" spans="1:12">
      <c r="A16" s="30"/>
      <c r="F16" s="104"/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74929.2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74929.2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87931.68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87931.68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35922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35922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26445.599999999999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26445.599999999999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8815.2000000000007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8815.2000000000007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50246.64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50246.64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53993.16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53993.16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8"/>
      <c r="E47" s="137">
        <v>555.9</v>
      </c>
      <c r="F47" s="137">
        <v>291.5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CGSP7G1QecicbwcXRpig3UsmQKFxuSO7fhs96YQogoNEbog62HzGn6aDasKdhnjPWNLHJJFpJnZgSOcAlRRYvw==" saltValue="AVkyGFXmtHbMusAuMCVp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7" sqref="E47:E4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1836.5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249948.56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442743.42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(14.26+1.09)*12*F1</f>
        <v>338283.3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104460.12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531106.43000000005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531106.43000000005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531106.43000000005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161585.54999999993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105</v>
      </c>
      <c r="B27" s="75" t="s">
        <v>3</v>
      </c>
      <c r="C27" s="86">
        <v>133242.64000000001</v>
      </c>
      <c r="D27" s="81" t="s">
        <v>59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108</v>
      </c>
      <c r="B30" s="75" t="s">
        <v>17</v>
      </c>
      <c r="C30" s="86">
        <f>C27-59184.77</f>
        <v>74057.870000000024</v>
      </c>
      <c r="D30" s="81" t="s">
        <v>65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87727.960000000021</v>
      </c>
      <c r="F45" s="94" t="s">
        <v>167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5849.1078812602136</v>
      </c>
      <c r="D46" s="94" t="s">
        <v>168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113934.69</v>
      </c>
      <c r="D47" s="94" t="s">
        <v>166</v>
      </c>
      <c r="E47" s="146"/>
      <c r="G47" s="67"/>
      <c r="H47" s="67"/>
      <c r="L47" s="63"/>
      <c r="M47" s="182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146"/>
      <c r="G48" s="67"/>
      <c r="H48" s="67"/>
      <c r="L48" s="63"/>
      <c r="M48" s="182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87727.960000000021</v>
      </c>
      <c r="D49" s="80" t="s">
        <v>58</v>
      </c>
      <c r="E49" s="146"/>
      <c r="G49" s="67"/>
      <c r="H49" s="67"/>
      <c r="L49" s="63"/>
      <c r="M49" s="182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87727.960000000021</v>
      </c>
      <c r="D50" s="80" t="s">
        <v>58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117065.06999999999</v>
      </c>
      <c r="F53" s="94" t="s">
        <v>167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7033.218462287894</v>
      </c>
      <c r="D54" s="94" t="s">
        <v>168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139562.80999999997</v>
      </c>
      <c r="D55" s="94" t="s">
        <v>166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117065.06999999999</v>
      </c>
      <c r="D57" s="80" t="s">
        <v>58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117065.06999999999</v>
      </c>
      <c r="D58" s="80" t="s">
        <v>58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81937.910000000018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161.2173715306615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92418.209999999977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81937.910000000018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81937.910000000018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/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4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/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2023-03-30T06:18:50Z</dcterms:modified>
</cp:coreProperties>
</file>