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C7" i="3" l="1"/>
  <c r="J141" i="1" l="1"/>
  <c r="J136"/>
  <c r="J135"/>
  <c r="G134"/>
  <c r="J133"/>
  <c r="J128"/>
  <c r="J127"/>
  <c r="G126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/>
  <c r="J120"/>
  <c r="J119"/>
  <c r="G118"/>
  <c r="J117"/>
  <c r="J112"/>
  <c r="J111"/>
  <c r="A113"/>
  <c r="G110"/>
  <c r="J109"/>
  <c r="J104"/>
  <c r="J103"/>
  <c r="A109"/>
  <c r="A105"/>
  <c r="G102"/>
  <c r="J101"/>
  <c r="J96"/>
  <c r="J95"/>
  <c r="A95"/>
  <c r="G94"/>
  <c r="K94"/>
  <c r="A114" l="1"/>
  <c r="D110"/>
  <c r="F102"/>
  <c r="F110"/>
  <c r="A119"/>
  <c r="A121"/>
  <c r="A118"/>
  <c r="A116"/>
  <c r="A112"/>
  <c r="A117"/>
  <c r="A141"/>
  <c r="F134"/>
  <c r="F118"/>
  <c r="A122"/>
  <c r="A110"/>
  <c r="A111"/>
  <c r="A125"/>
  <c r="A137"/>
  <c r="A123"/>
  <c r="A94"/>
  <c r="A96"/>
  <c r="D94"/>
  <c r="A99"/>
  <c r="A100"/>
  <c r="A106"/>
  <c r="A138"/>
  <c r="F94"/>
  <c r="A101"/>
  <c r="A102"/>
  <c r="A107"/>
  <c r="A134"/>
  <c r="A135"/>
  <c r="A139"/>
  <c r="A97"/>
  <c r="A103"/>
  <c r="D102"/>
  <c r="A104"/>
  <c r="D118"/>
  <c r="A120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/>
  <c r="C59" i="3"/>
  <c r="J116" i="1" s="1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58" s="1"/>
  <c r="O28"/>
  <c r="N167" l="1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N181"/>
  <c r="A181" s="1"/>
  <c r="I181" s="1"/>
  <c r="N183"/>
  <c r="A183" s="1"/>
  <c r="I183" s="1"/>
  <c r="N170"/>
  <c r="A170" s="1"/>
  <c r="I170" s="1"/>
  <c r="N173"/>
  <c r="A173" s="1"/>
  <c r="I173" s="1"/>
  <c r="N159"/>
  <c r="A159" s="1"/>
  <c r="N164"/>
  <c r="A164" s="1"/>
  <c r="I164" s="1"/>
  <c r="N163"/>
  <c r="A163" s="1"/>
  <c r="N168"/>
  <c r="A168" s="1"/>
  <c r="I168" s="1"/>
  <c r="N166"/>
  <c r="A166" s="1"/>
  <c r="I166" s="1"/>
  <c r="N169"/>
  <c r="A169" s="1"/>
  <c r="I169" s="1"/>
  <c r="N186"/>
  <c r="A186" s="1"/>
  <c r="I186" s="1"/>
  <c r="N160"/>
  <c r="A160" s="1"/>
  <c r="N175"/>
  <c r="A175" s="1"/>
  <c r="I175" s="1"/>
  <c r="N180"/>
  <c r="A180" s="1"/>
  <c r="I180" s="1"/>
  <c r="N179"/>
  <c r="A179" s="1"/>
  <c r="I179" s="1"/>
  <c r="N184"/>
  <c r="A184" s="1"/>
  <c r="I184" s="1"/>
  <c r="N182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A158"/>
  <c r="E155"/>
  <c r="H173" l="1"/>
  <c r="H179"/>
  <c r="H165"/>
  <c r="H178"/>
  <c r="H177"/>
  <c r="H170"/>
  <c r="H167"/>
  <c r="F170"/>
  <c r="F171"/>
  <c r="H186"/>
  <c r="F177"/>
  <c r="F165"/>
  <c r="F179"/>
  <c r="F167"/>
  <c r="H171"/>
  <c r="F186"/>
  <c r="H175"/>
  <c r="F172"/>
  <c r="F168"/>
  <c r="H176"/>
  <c r="F175"/>
  <c r="H172"/>
  <c r="F178"/>
  <c r="H168"/>
  <c r="F173"/>
  <c r="F187"/>
  <c r="H184"/>
  <c r="F182"/>
  <c r="F181"/>
  <c r="H181"/>
  <c r="F166"/>
  <c r="H187"/>
  <c r="H182"/>
  <c r="H166"/>
  <c r="F180"/>
  <c r="H164"/>
  <c r="F185"/>
  <c r="F164"/>
  <c r="F176"/>
  <c r="F184"/>
  <c r="H169"/>
  <c r="F169"/>
  <c r="H185"/>
  <c r="H174"/>
  <c r="H180"/>
  <c r="F174"/>
  <c r="F183"/>
  <c r="H183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<sst xmlns="http://schemas.openxmlformats.org/spreadsheetml/2006/main" count="548" uniqueCount="198">
  <si>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</si>
  <si>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</si>
  <si>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</si>
  <si>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</si>
  <si>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</si>
  <si>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</si>
  <si>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</si>
  <si>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</si>
  <si>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</si>
  <si>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</si>
  <si>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</si>
  <si>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</si>
  <si>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</si>
  <si>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</si>
  <si>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</si>
  <si>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</si>
  <si>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</si>
  <si>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</si>
  <si>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</si>
  <si>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</si>
  <si>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</si>
  <si>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</si>
  <si>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</si>
  <si>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</si>
  <si>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</si>
  <si>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</si>
  <si>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</si>
  <si>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</si>
  <si>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</si>
  <si>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</si>
  <si>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</si>
  <si>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</si>
  <si>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</si>
  <si>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</si>
  <si>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</si>
  <si>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</si>
  <si>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</si>
  <si>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</si>
  <si>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</si>
  <si>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</si>
  <si>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</si>
  <si>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</si>
  <si>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</si>
  <si>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</si>
  <si>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</si>
  <si>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</si>
  <si>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</si>
  <si>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</si>
  <si>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</si>
  <si>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</si>
  <si>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</si>
  <si>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</si>
  <si>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</si>
  <si>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</si>
  <si>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</si>
  <si>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</si>
  <si>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</si>
  <si>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</si>
  <si>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</si>
  <si>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</si>
  <si>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</si>
  <si>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</si>
  <si>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</si>
  <si>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</si>
  <si>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</si>
  <si>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</si>
  <si>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</si>
  <si>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</si>
  <si>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</si>
  <si>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</si>
  <si>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</si>
  <si>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</si>
  <si>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</si>
  <si>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</si>
  <si>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</si>
  <si>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</si>
  <si>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</si>
  <si>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</si>
  <si>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</si>
  <si>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</si>
  <si>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</si>
  <si>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</si>
  <si>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</si>
  <si>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</si>
  <si>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</si>
  <si>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</si>
  <si>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</si>
  <si>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</si>
  <si>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</si>
  <si>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</si>
  <si>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</si>
  <si>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</si>
  <si>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</si>
  <si>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</si>
  <si>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</si>
  <si>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</si>
  <si>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</si>
  <si>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</si>
  <si>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</si>
  <si>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</si>
  <si>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</si>
  <si>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</si>
  <si>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</si>
  <si>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</si>
  <si>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</si>
  <si>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</si>
  <si>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</si>
  <si>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</si>
  <si>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</si>
  <si>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</si>
  <si>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</si>
  <si>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</si>
  <si>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</si>
  <si>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</si>
  <si>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</si>
  <si>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</si>
  <si>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</si>
  <si>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</si>
  <si>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</si>
  <si>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</si>
  <si>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</si>
  <si>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</si>
  <si>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</si>
  <si>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</si>
  <si>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</si>
  <si>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</si>
  <si>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</si>
  <si>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</si>
  <si>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</si>
  <si>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</si>
  <si>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</si>
  <si>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</si>
  <si>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</si>
  <si>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</si>
  <si>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</si>
  <si>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</si>
  <si>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</si>
  <si>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</si>
  <si>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</si>
  <si>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</si>
  <si>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</si>
  <si>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</si>
  <si>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</si>
  <si>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</si>
  <si>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</si>
  <si>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</si>
  <si>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</si>
  <si>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</si>
  <si>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</si>
  <si>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</si>
  <si>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</si>
  <si>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</si>
  <si>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</si>
  <si>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</si>
  <si>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</si>
  <si>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</si>
  <si>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</si>
  <si>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</si>
  <si>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</si>
  <si>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</si>
  <si>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</si>
  <si>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</si>
  <si>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</si>
  <si>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</si>
  <si>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</si>
  <si>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</si>
  <si>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</si>
  <si>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</si>
  <si>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</si>
  <si>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</si>
  <si>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</si>
  <si>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</si>
  <si>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</si>
  <si>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</si>
  <si>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</si>
  <si>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</si>
  <si>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</si>
  <si>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</si>
  <si>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6</t>
  </si>
  <si>
    <t>Отчет об исполнении договора управления многоквартирного дома 
Мамина-Сибиряка, 6 в части текущего ремонта</t>
  </si>
  <si>
    <t>ежегодно</t>
  </si>
  <si>
    <t>площадь дома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</si>
  <si>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</si>
  <si>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</si>
  <si>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</si>
  <si>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</si>
  <si>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</si>
  <si>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Приобретение и установка доводчика тамбурной двери.</t>
  </si>
  <si>
    <t>разово</t>
  </si>
  <si>
    <t>АВР 1/21 от 26.01.2021</t>
  </si>
  <si>
    <t>АВР 2/21 от 17.03.2021</t>
  </si>
  <si>
    <t>счет №104 от 28.04.2021</t>
  </si>
  <si>
    <t>Приобретение и установка ОДПУ ХВС.</t>
  </si>
  <si>
    <t>Приобретение и замена замка дверей шахты пассажирского лифта.</t>
  </si>
  <si>
    <t>АВР 3/21 от 13.05.2021, счет №65 от 26.04.2021</t>
  </si>
  <si>
    <t>Коммунальные ресурсы на содержание общего имущества</t>
  </si>
  <si>
    <t xml:space="preserve">  -  ремонт подъезда</t>
  </si>
  <si>
    <t>Механизированная уборка и вывоз снега с придомовой территории.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</si>
</sst>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3" fillId="0" borderId="0"/>
    <xf numFmtId="0" fontId="1" fillId="0" borderId="0"/>
  </cellStyleXfs>
  <cellXfs count="17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6" fillId="0" borderId="0" xfId="5" applyNumberFormat="1" applyFill="1" applyBorder="1" applyAlignment="1">
      <alignment horizontal="center"/>
    </xf>
    <xf numFmtId="4" fontId="6" fillId="0" borderId="0" xfId="5" applyNumberFormat="1" applyFill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1" fontId="3" fillId="0" borderId="0" xfId="6" applyNumberFormat="1" applyFill="1" applyBorder="1" applyAlignment="1">
      <alignment horizontal="center"/>
    </xf>
    <xf numFmtId="4" fontId="3" fillId="0" borderId="0" xfId="6" applyNumberFormat="1" applyFill="1" applyBorder="1" applyAlignment="1"/>
    <xf numFmtId="0" fontId="0" fillId="0" borderId="0" xfId="0" applyFill="1"/>
    <xf numFmtId="0" fontId="5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4" fontId="0" fillId="6" borderId="0" xfId="0" applyNumberFormat="1" applyFill="1" applyBorder="1" applyAlignment="1"/>
    <xf numFmtId="0" fontId="0" fillId="6" borderId="0" xfId="0" applyFill="1"/>
    <xf numFmtId="4" fontId="0" fillId="0" borderId="0" xfId="0" applyNumberFormat="1" applyBorder="1" applyAlignment="1">
      <alignment horizontal="center"/>
    </xf>
    <xf numFmtId="4" fontId="22" fillId="3" borderId="0" xfId="7" applyNumberFormat="1" applyFont="1" applyFill="1" applyBorder="1" applyAlignment="1">
      <alignment horizontal="left" vertical="center" wrapText="1"/>
    </xf>
    <xf numFmtId="0" fontId="6" fillId="6" borderId="0" xfId="5" applyFill="1" applyBorder="1" applyAlignment="1"/>
    <xf numFmtId="0" fontId="6" fillId="6" borderId="0" xfId="5" applyFill="1" applyBorder="1" applyAlignment="1">
      <alignment horizontal="center"/>
    </xf>
    <xf numFmtId="4" fontId="20" fillId="6" borderId="0" xfId="5" applyNumberFormat="1" applyFont="1" applyFill="1" applyBorder="1" applyAlignment="1"/>
    <xf numFmtId="0" fontId="0" fillId="6" borderId="0" xfId="0" applyFill="1" applyBorder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5" t="s">
        <v>178</v>
      </c>
      <c r="B2" s="165"/>
      <c r="C2" s="165"/>
      <c r="D2" s="165"/>
      <c r="E2" s="165"/>
      <c r="F2" s="165"/>
      <c r="G2" s="165"/>
      <c r="H2" s="165"/>
      <c r="I2" s="165"/>
      <c r="J2" s="165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0"/>
      <c r="L8" s="166"/>
      <c r="M8" s="110"/>
      <c r="N8" s="110"/>
      <c r="O8" s="71" t="s">
        <v>83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0"/>
      <c r="L9" s="166"/>
      <c r="M9" s="110"/>
      <c r="N9" s="110"/>
      <c r="O9" s="71" t="s">
        <v>84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266282.09999999998</v>
      </c>
      <c r="K10" s="110"/>
      <c r="L10" s="166"/>
      <c r="M10" s="110"/>
      <c r="N10" s="110"/>
      <c r="O10" s="71" t="s">
        <v>85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642610.36600000004</v>
      </c>
      <c r="K11" s="110"/>
      <c r="L11" s="166"/>
      <c r="M11" s="110"/>
      <c r="N11" s="110"/>
      <c r="O11" s="71" t="s">
        <v>86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492208.27</v>
      </c>
      <c r="K12" s="110"/>
      <c r="L12" s="166"/>
      <c r="M12" s="110"/>
      <c r="N12" s="110"/>
      <c r="O12" s="71" t="s">
        <v>87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150402.09599999999</v>
      </c>
      <c r="K13" s="110"/>
      <c r="L13" s="166"/>
      <c r="M13" s="110"/>
      <c r="N13" s="110"/>
      <c r="O13" s="71" t="s">
        <v>88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0"/>
      <c r="L14" s="166"/>
      <c r="M14" s="110"/>
      <c r="N14" s="110"/>
      <c r="O14" s="71" t="s">
        <v>89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696849.78</v>
      </c>
      <c r="K15" s="110"/>
      <c r="L15" s="166"/>
      <c r="M15" s="110"/>
      <c r="N15" s="110"/>
      <c r="O15" s="71" t="s">
        <v>90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696849.78</v>
      </c>
      <c r="K16" s="110"/>
      <c r="L16" s="166"/>
      <c r="M16" s="110"/>
      <c r="N16" s="110"/>
      <c r="O16" s="71" t="s">
        <v>91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0"/>
      <c r="L17" s="166"/>
      <c r="M17" s="110"/>
      <c r="N17" s="110"/>
      <c r="O17" s="71" t="s">
        <v>92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0"/>
      <c r="L18" s="166"/>
      <c r="M18" s="110"/>
      <c r="N18" s="110"/>
      <c r="O18" s="71" t="s">
        <v>93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0"/>
      <c r="L19" s="166"/>
      <c r="M19" s="110"/>
      <c r="N19" s="110"/>
      <c r="O19" s="71" t="s">
        <v>94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0"/>
      <c r="L20" s="166"/>
      <c r="M20" s="110"/>
      <c r="N20" s="110"/>
      <c r="O20" s="71" t="s">
        <v>95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696849.78</v>
      </c>
      <c r="K21" s="110"/>
      <c r="L21" s="166"/>
      <c r="M21" s="110"/>
      <c r="N21" s="110"/>
      <c r="O21" s="71" t="s">
        <v>96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0"/>
      <c r="L22" s="166"/>
      <c r="M22" s="110"/>
      <c r="N22" s="110"/>
      <c r="O22" s="71" t="s">
        <v>97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0"/>
      <c r="L23" s="166"/>
      <c r="M23" s="110"/>
      <c r="N23" s="110"/>
      <c r="O23" s="71" t="s">
        <v>98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212042.68599999999</v>
      </c>
      <c r="K24" s="110"/>
      <c r="L24" s="166"/>
      <c r="M24" s="110"/>
      <c r="N24" s="110"/>
      <c r="O24" s="71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10"/>
      <c r="L27" s="167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5">
        <f>VLOOKUP(A28,ПТО!$A$39:$D$53,2,FALSE)</f>
        <v>158334.72</v>
      </c>
      <c r="G28" s="155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10"/>
      <c r="L28" s="167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0"/>
      <c r="C29" s="150"/>
      <c r="D29" s="150"/>
      <c r="E29" s="150"/>
      <c r="F29" s="155">
        <f>VLOOKUP(A29,ПТО!$A$39:$D$53,2,FALSE)</f>
        <v>126604.32</v>
      </c>
      <c r="G29" s="155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10"/>
      <c r="L29" s="167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5">
        <f>VLOOKUP(A30,ПТО!$A$39:$D$53,2,FALSE)</f>
        <v>46643.64</v>
      </c>
      <c r="G30" s="155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10"/>
      <c r="L30" s="167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5">
        <f>VLOOKUP(A31,ПТО!$A$39:$D$53,2,FALSE)</f>
        <v>38076.480000000003</v>
      </c>
      <c r="G31" s="155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10"/>
      <c r="L31" s="167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10"/>
      <c r="L32" s="167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5">
        <f>VLOOKUP(A33,ПТО!$A$39:$D$53,2,FALSE)</f>
        <v>12692.16</v>
      </c>
      <c r="G33" s="155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10"/>
      <c r="L33" s="167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5">
        <f>VLOOKUP(A34,ПТО!$A$39:$D$53,2,FALSE)</f>
        <v>50451.360000000001</v>
      </c>
      <c r="G34" s="155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10"/>
      <c r="L34" s="167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0" t="str">
        <f>ПТО!A46</f>
        <v>Работы по содержанию лифта (лифтов)</v>
      </c>
      <c r="B35" s="150"/>
      <c r="C35" s="150"/>
      <c r="D35" s="150"/>
      <c r="E35" s="150"/>
      <c r="F35" s="155">
        <f>VLOOKUP(A35,ПТО!$A$39:$D$53,2,FALSE)</f>
        <v>53941.68</v>
      </c>
      <c r="G35" s="155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10"/>
      <c r="L35" s="167"/>
      <c r="M35" s="117"/>
      <c r="N35" s="110"/>
      <c r="O35" s="23" t="str">
        <f t="shared" si="1"/>
        <v>Работы по содержанию лифта (лифтов)</v>
      </c>
      <c r="R35" s="1" t="s">
        <v>71</v>
      </c>
    </row>
    <row r="36" spans="1:18" ht="51" customHeight="1" outlineLevel="1">
      <c r="A36" s="150" t="str">
        <f>ПТО!A47</f>
        <v>Коммунальные ресурсы на содержание общего имущества</v>
      </c>
      <c r="B36" s="150"/>
      <c r="C36" s="150"/>
      <c r="D36" s="150"/>
      <c r="E36" s="150"/>
      <c r="F36" s="155">
        <f>VLOOKUP(A36,ПТО!$A$39:$D$53,2,FALSE)</f>
        <v>48592.854449999999</v>
      </c>
      <c r="G36" s="155"/>
      <c r="H36" s="42" t="str">
        <f>VLOOKUP(A36,ПТО!$A$39:$D$53,3,FALSE)</f>
        <v>Ежемесячно</v>
      </c>
      <c r="I36" s="151">
        <f>VLOOKUP(A36,ПТО!$A$39:$D$53,4,FALSE)</f>
        <v>12</v>
      </c>
      <c r="J36" s="151"/>
      <c r="K36" s="110"/>
      <c r="L36" s="167"/>
      <c r="M36" s="117"/>
      <c r="N36" s="110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0">
        <f>ПТО!A48</f>
        <v>0</v>
      </c>
      <c r="B37" s="150"/>
      <c r="C37" s="150"/>
      <c r="D37" s="150"/>
      <c r="E37" s="150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10"/>
      <c r="L37" s="167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10"/>
      <c r="L38" s="167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10"/>
      <c r="L39" s="167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10"/>
      <c r="L40" s="167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10"/>
      <c r="L41" s="167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10"/>
      <c r="L42" s="167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0" t="str">
        <f>ПТО!A2</f>
        <v>Техническое освидетельствование лифта.</v>
      </c>
      <c r="B43" s="150"/>
      <c r="C43" s="150"/>
      <c r="D43" s="150"/>
      <c r="E43" s="150"/>
      <c r="F43" s="155">
        <f>VLOOKUP(A43,ПТО!$A$2:$D$31,4,FALSE)</f>
        <v>8100</v>
      </c>
      <c r="G43" s="155"/>
      <c r="H43" s="19" t="str">
        <f>VLOOKUP(A43,ПТО!$A$2:$D$31,2,FALSE)</f>
        <v>ежегодно</v>
      </c>
      <c r="I43" s="151">
        <f>VLOOKUP(A43,ПТО!$A$2:$D$31,3,FALSE)</f>
        <v>1</v>
      </c>
      <c r="J43" s="151"/>
      <c r="K43" s="110"/>
      <c r="L43" s="167"/>
      <c r="M43" s="117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0" t="str">
        <f>ПТО!A3</f>
        <v>Приобретение и установка доводчика тамбурной двери.</v>
      </c>
      <c r="B44" s="150"/>
      <c r="C44" s="150"/>
      <c r="D44" s="150"/>
      <c r="E44" s="150"/>
      <c r="F44" s="155">
        <f>VLOOKUP(A44,ПТО!$A$2:$D$31,4,FALSE)</f>
        <v>1200</v>
      </c>
      <c r="G44" s="155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10"/>
      <c r="L44" s="167"/>
      <c r="M44" s="117"/>
      <c r="N44" s="110"/>
      <c r="O44" s="23" t="str">
        <f t="shared" si="1"/>
        <v>Приобретение и установка доводчика тамбурной двери.</v>
      </c>
      <c r="R44" s="22" t="s">
        <v>72</v>
      </c>
    </row>
    <row r="45" spans="1:18" ht="51" customHeight="1" outlineLevel="1">
      <c r="A45" s="150" t="str">
        <f>ПТО!A4</f>
        <v>Механизированная уборка и вывоз снега с придомовой территории.</v>
      </c>
      <c r="B45" s="150"/>
      <c r="C45" s="150"/>
      <c r="D45" s="150"/>
      <c r="E45" s="150"/>
      <c r="F45" s="155">
        <f>VLOOKUP(A45,ПТО!$A$2:$D$31,4,FALSE)</f>
        <v>14000</v>
      </c>
      <c r="G45" s="155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10"/>
      <c r="L45" s="167"/>
      <c r="M45" s="117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50" t="str">
        <f>ПТО!A5</f>
        <v>Приобретение и замена замка дверей шахты пассажирского лифта.</v>
      </c>
      <c r="B46" s="150"/>
      <c r="C46" s="150"/>
      <c r="D46" s="150"/>
      <c r="E46" s="150"/>
      <c r="F46" s="155">
        <f>VLOOKUP(A46,ПТО!$A$2:$D$31,4,FALSE)</f>
        <v>1850</v>
      </c>
      <c r="G46" s="155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10"/>
      <c r="L46" s="167"/>
      <c r="M46" s="117"/>
      <c r="N46" s="110"/>
      <c r="O46" s="23" t="str">
        <f t="shared" si="1"/>
        <v>Приобретение и замена замка дверей шахты пассажирского лифта.</v>
      </c>
      <c r="R46" s="22" t="s">
        <v>72</v>
      </c>
    </row>
    <row r="47" spans="1:18" ht="51" customHeight="1" outlineLevel="1">
      <c r="A47" s="150" t="str">
        <f>ПТО!A6</f>
        <v>Приобретение и установка ОДПУ ХВС.</v>
      </c>
      <c r="B47" s="150"/>
      <c r="C47" s="150"/>
      <c r="D47" s="150"/>
      <c r="E47" s="150"/>
      <c r="F47" s="155">
        <f>VLOOKUP(A47,ПТО!$A$2:$D$31,4,FALSE)</f>
        <v>4284.33</v>
      </c>
      <c r="G47" s="155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10"/>
      <c r="L47" s="167"/>
      <c r="M47" s="117"/>
      <c r="N47" s="110"/>
      <c r="O47" s="23" t="str">
        <f t="shared" si="1"/>
        <v>Приобретение и установка ОДПУ ХВС.</v>
      </c>
      <c r="R47" s="22" t="s">
        <v>72</v>
      </c>
    </row>
    <row r="48" spans="1:18" ht="51" hidden="1" customHeight="1" outlineLevel="1">
      <c r="A48" s="150">
        <f>ПТО!A7</f>
        <v>0</v>
      </c>
      <c r="B48" s="150"/>
      <c r="C48" s="150"/>
      <c r="D48" s="150"/>
      <c r="E48" s="150"/>
      <c r="F48" s="155" t="e">
        <f>VLOOKUP(A48,ПТО!$A$2:$D$31,4,FALSE)</f>
        <v>#N/A</v>
      </c>
      <c r="G48" s="155"/>
      <c r="H48" s="25" t="e">
        <f>VLOOKUP(A48,ПТО!$A$2:$D$31,2,FALSE)</f>
        <v>#N/A</v>
      </c>
      <c r="I48" s="151" t="e">
        <f>VLOOKUP(A48,ПТО!$A$2:$D$31,3,FALSE)</f>
        <v>#N/A</v>
      </c>
      <c r="J48" s="151"/>
      <c r="K48" s="110"/>
      <c r="L48" s="167"/>
      <c r="M48" s="117"/>
      <c r="N48" s="110"/>
      <c r="O48" s="23">
        <f t="shared" si="1"/>
        <v>0</v>
      </c>
      <c r="R48" s="22" t="s">
        <v>72</v>
      </c>
    </row>
    <row r="49" spans="1:18" ht="51" hidden="1" customHeight="1" outlineLevel="1">
      <c r="A49" s="150">
        <f>ПТО!A8</f>
        <v>0</v>
      </c>
      <c r="B49" s="150"/>
      <c r="C49" s="150"/>
      <c r="D49" s="150"/>
      <c r="E49" s="150"/>
      <c r="F49" s="155" t="e">
        <f>VLOOKUP(A49,ПТО!$A$2:$D$31,4,FALSE)</f>
        <v>#N/A</v>
      </c>
      <c r="G49" s="155"/>
      <c r="H49" s="25" t="e">
        <f>VLOOKUP(A49,ПТО!$A$2:$D$31,2,FALSE)</f>
        <v>#N/A</v>
      </c>
      <c r="I49" s="151" t="e">
        <f>VLOOKUP(A49,ПТО!$A$2:$D$31,3,FALSE)</f>
        <v>#N/A</v>
      </c>
      <c r="J49" s="151"/>
      <c r="K49" s="110"/>
      <c r="L49" s="167"/>
      <c r="M49" s="117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50">
        <f>ПТО!A9</f>
        <v>0</v>
      </c>
      <c r="B50" s="150"/>
      <c r="C50" s="150"/>
      <c r="D50" s="150"/>
      <c r="E50" s="150"/>
      <c r="F50" s="155" t="e">
        <f>VLOOKUP(A50,ПТО!$A$2:$D$31,4,FALSE)</f>
        <v>#N/A</v>
      </c>
      <c r="G50" s="155"/>
      <c r="H50" s="25" t="e">
        <f>VLOOKUP(A50,ПТО!$A$2:$D$31,2,FALSE)</f>
        <v>#N/A</v>
      </c>
      <c r="I50" s="151" t="e">
        <f>VLOOKUP(A50,ПТО!$A$2:$D$31,3,FALSE)</f>
        <v>#N/A</v>
      </c>
      <c r="J50" s="151"/>
      <c r="K50" s="110"/>
      <c r="L50" s="167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50">
        <f>ПТО!A10</f>
        <v>0</v>
      </c>
      <c r="B51" s="150"/>
      <c r="C51" s="150"/>
      <c r="D51" s="150"/>
      <c r="E51" s="150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10"/>
      <c r="L51" s="167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10"/>
      <c r="L52" s="167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10"/>
      <c r="L53" s="167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10"/>
      <c r="L54" s="167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10"/>
      <c r="L55" s="167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10"/>
      <c r="L56" s="167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10"/>
      <c r="L57" s="167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10"/>
      <c r="L58" s="167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10"/>
      <c r="L59" s="167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10"/>
      <c r="L60" s="167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10"/>
      <c r="L61" s="167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10"/>
      <c r="L62" s="167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10"/>
      <c r="L63" s="167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10"/>
      <c r="L64" s="167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10"/>
      <c r="L65" s="167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10"/>
      <c r="L66" s="167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10"/>
      <c r="L67" s="167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10"/>
      <c r="L68" s="167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10"/>
      <c r="L69" s="167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10"/>
      <c r="L70" s="167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7"/>
      <c r="L71" s="167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10"/>
      <c r="L72" s="167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8" t="s">
        <v>27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10"/>
      <c r="L75" s="170"/>
      <c r="M75" s="110"/>
      <c r="N75" s="110"/>
      <c r="O75" s="71" t="s">
        <v>100</v>
      </c>
    </row>
    <row r="76" spans="1:16384" ht="18.75" customHeight="1" outlineLevel="1">
      <c r="A76" s="168" t="s">
        <v>28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10"/>
      <c r="L76" s="170"/>
      <c r="M76" s="110"/>
      <c r="N76" s="110"/>
      <c r="O76" s="71" t="s">
        <v>101</v>
      </c>
    </row>
    <row r="77" spans="1:16384" ht="21.75" customHeight="1" outlineLevel="1">
      <c r="A77" s="168" t="s">
        <v>29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10"/>
      <c r="L77" s="170"/>
      <c r="M77" s="110"/>
      <c r="N77" s="110"/>
      <c r="O77" s="71" t="s">
        <v>102</v>
      </c>
    </row>
    <row r="78" spans="1:16384" ht="18.75" customHeight="1" outlineLevel="1">
      <c r="A78" s="168" t="s">
        <v>30</v>
      </c>
      <c r="B78" s="168"/>
      <c r="C78" s="168"/>
      <c r="D78" s="168"/>
      <c r="E78" s="168"/>
      <c r="F78" s="168"/>
      <c r="G78" s="168"/>
      <c r="H78" s="168"/>
      <c r="I78" s="168"/>
      <c r="J78" s="98">
        <f>VLOOKUP(O78,АО,3,FALSE)</f>
        <v>0</v>
      </c>
      <c r="K78" s="110"/>
      <c r="L78" s="170"/>
      <c r="M78" s="110"/>
      <c r="N78" s="110"/>
      <c r="O78" s="71" t="s">
        <v>103</v>
      </c>
    </row>
    <row r="79" spans="1:16384">
      <c r="A79" s="116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8">
        <f t="shared" ref="J81:J90" si="2">VLOOKUP(O81,АО,3,FALSE)</f>
        <v>0</v>
      </c>
      <c r="K81" s="110"/>
      <c r="L81" s="156"/>
      <c r="M81" s="110"/>
      <c r="N81" s="110"/>
      <c r="O81" s="71" t="s">
        <v>104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8">
        <f t="shared" si="2"/>
        <v>0</v>
      </c>
      <c r="K82" s="110"/>
      <c r="L82" s="156"/>
      <c r="M82" s="110"/>
      <c r="N82" s="110"/>
      <c r="O82" s="71" t="s">
        <v>105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8">
        <f t="shared" si="2"/>
        <v>121246.92</v>
      </c>
      <c r="K83" s="110"/>
      <c r="L83" s="156"/>
      <c r="M83" s="110"/>
      <c r="N83" s="110"/>
      <c r="O83" s="71" t="s">
        <v>106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8">
        <f t="shared" si="2"/>
        <v>0</v>
      </c>
      <c r="K84" s="110"/>
      <c r="L84" s="156"/>
      <c r="M84" s="110"/>
      <c r="N84" s="110"/>
      <c r="O84" s="71" t="s">
        <v>107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8">
        <f t="shared" si="2"/>
        <v>0</v>
      </c>
      <c r="K85" s="110"/>
      <c r="L85" s="156"/>
      <c r="M85" s="110"/>
      <c r="N85" s="110"/>
      <c r="O85" s="71" t="s">
        <v>108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8">
        <f t="shared" si="2"/>
        <v>113369.68</v>
      </c>
      <c r="K86" s="110"/>
      <c r="L86" s="156"/>
      <c r="M86" s="110"/>
      <c r="N86" s="110"/>
      <c r="O86" s="71" t="s">
        <v>109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10"/>
      <c r="L87" s="156"/>
      <c r="M87" s="110"/>
      <c r="N87" s="110"/>
      <c r="O87" s="71" t="s">
        <v>110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10"/>
      <c r="L88" s="156"/>
      <c r="M88" s="110"/>
      <c r="N88" s="110"/>
      <c r="O88" s="71" t="s">
        <v>111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10"/>
      <c r="L89" s="156"/>
      <c r="M89" s="110"/>
      <c r="N89" s="110"/>
      <c r="O89" s="71" t="s">
        <v>112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8">
        <f t="shared" si="2"/>
        <v>0</v>
      </c>
      <c r="K90" s="110"/>
      <c r="L90" s="156"/>
      <c r="M90" s="110"/>
      <c r="N90" s="110"/>
      <c r="O90" s="71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71" t="s">
        <v>48</v>
      </c>
      <c r="B93" s="171"/>
      <c r="C93" s="171"/>
      <c r="D93" s="172" t="s">
        <v>49</v>
      </c>
      <c r="E93" s="172"/>
      <c r="F93" s="10" t="s">
        <v>50</v>
      </c>
      <c r="G93" s="171" t="s">
        <v>51</v>
      </c>
      <c r="H93" s="171"/>
      <c r="I93" s="171"/>
      <c r="J93" s="171"/>
      <c r="K93" s="110"/>
      <c r="L93" s="110"/>
      <c r="M93" s="110"/>
      <c r="N93" s="110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3" t="str">
        <f>IF(VLOOKUP("эл",АО,3,FALSE)&gt;0,VLOOKUP("эл",АО,3,FALSE),0)</f>
        <v>Предоставляется</v>
      </c>
      <c r="E94" s="153"/>
      <c r="F94" s="13" t="str">
        <f>IF(VLOOKUP("эл",АО,3,FALSE)&gt;0,VLOOKUP("эл",АО,4,FALSE),0)</f>
        <v>кВт*ч</v>
      </c>
      <c r="G94" s="154">
        <f>VLOOKUP("эл",АО,5,FALSE)</f>
        <v>175624.23</v>
      </c>
      <c r="H94" s="153"/>
      <c r="I94" s="153"/>
      <c r="J94" s="153"/>
      <c r="K94" s="1" t="str">
        <f>VLOOKUP("эл",АО,2,FALSE)</f>
        <v>Электроснабжение</v>
      </c>
      <c r="L94" s="157"/>
    </row>
    <row r="95" spans="1:15" outlineLevel="2">
      <c r="A95" s="169" t="str">
        <f>IF(VLOOKUP("эл",АО,3,FALSE)&gt;0,VLOOKUP("эл1",АО,2,FALSE),0)</f>
        <v>Общий объем потребления, нат. показ.</v>
      </c>
      <c r="B95" s="169"/>
      <c r="C95" s="169"/>
      <c r="D95" s="169"/>
      <c r="E95" s="169"/>
      <c r="F95" s="169"/>
      <c r="G95" s="169"/>
      <c r="H95" s="169"/>
      <c r="I95" s="169"/>
      <c r="J95" s="18">
        <f t="shared" ref="J95:J101" si="3">VLOOKUP(O95,АО,3,FALSE)</f>
        <v>146353.53</v>
      </c>
      <c r="L95" s="157"/>
      <c r="O95" s="1" t="s">
        <v>114</v>
      </c>
    </row>
    <row r="96" spans="1:15" outlineLevel="2">
      <c r="A96" s="169" t="str">
        <f>IF(VLOOKUP("эл",АО,3,FALSE)&gt;0,VLOOKUP("эл2",АО,2,FALSE),0)</f>
        <v>Оплачено потребителями, руб.</v>
      </c>
      <c r="B96" s="169"/>
      <c r="C96" s="169"/>
      <c r="D96" s="169"/>
      <c r="E96" s="169"/>
      <c r="F96" s="169"/>
      <c r="G96" s="169"/>
      <c r="H96" s="169"/>
      <c r="I96" s="169"/>
      <c r="J96" s="18">
        <f t="shared" si="3"/>
        <v>188000.18</v>
      </c>
      <c r="L96" s="157"/>
      <c r="O96" s="1" t="s">
        <v>115</v>
      </c>
    </row>
    <row r="97" spans="1:15" outlineLevel="2">
      <c r="A97" s="169" t="str">
        <f>IF(VLOOKUP("эл",АО,3,FALSE)&gt;0,VLOOKUP("эл3",АО,2,FALSE),0)</f>
        <v>Задолженность потребителей, руб.</v>
      </c>
      <c r="B97" s="169"/>
      <c r="C97" s="169"/>
      <c r="D97" s="169"/>
      <c r="E97" s="169"/>
      <c r="F97" s="169"/>
      <c r="G97" s="169"/>
      <c r="H97" s="169"/>
      <c r="I97" s="169"/>
      <c r="J97" s="18">
        <f t="shared" si="3"/>
        <v>0</v>
      </c>
      <c r="L97" s="157"/>
      <c r="O97" s="1" t="s">
        <v>116</v>
      </c>
    </row>
    <row r="98" spans="1:15" ht="37.5" customHeight="1" outlineLevel="2">
      <c r="A98" s="169" t="str">
        <f>IF(VLOOKUP("эл",АО,3,FALSE)&gt;0,VLOOKUP("эл4",АО,2,FALSE),0)</f>
        <v>Начислено поставщиком (поставщиками) коммунального ресурса, руб.</v>
      </c>
      <c r="B98" s="169"/>
      <c r="C98" s="169"/>
      <c r="D98" s="169"/>
      <c r="E98" s="169"/>
      <c r="F98" s="169"/>
      <c r="G98" s="169"/>
      <c r="H98" s="169"/>
      <c r="I98" s="169"/>
      <c r="J98" s="18">
        <f t="shared" si="3"/>
        <v>175624.23</v>
      </c>
      <c r="L98" s="157"/>
      <c r="O98" s="1" t="s">
        <v>117</v>
      </c>
    </row>
    <row r="99" spans="1:15" outlineLevel="2">
      <c r="A99" s="169" t="str">
        <f>IF(VLOOKUP("эл",АО,3,FALSE)&gt;0,VLOOKUP("эл5",АО,2,FALSE),0)</f>
        <v>Оплачено поставщику (поставщикам) коммунального ресурса, руб.</v>
      </c>
      <c r="B99" s="169"/>
      <c r="C99" s="169"/>
      <c r="D99" s="169"/>
      <c r="E99" s="169"/>
      <c r="F99" s="169"/>
      <c r="G99" s="169"/>
      <c r="H99" s="169"/>
      <c r="I99" s="169"/>
      <c r="J99" s="18">
        <f t="shared" si="3"/>
        <v>175624.23</v>
      </c>
      <c r="L99" s="157"/>
      <c r="O99" s="1" t="s">
        <v>118</v>
      </c>
    </row>
    <row r="100" spans="1:15" ht="39" customHeight="1" outlineLevel="2">
      <c r="A100" s="16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9"/>
      <c r="C100" s="169"/>
      <c r="D100" s="169"/>
      <c r="E100" s="169"/>
      <c r="F100" s="169"/>
      <c r="G100" s="169"/>
      <c r="H100" s="169"/>
      <c r="I100" s="169"/>
      <c r="J100" s="18">
        <f t="shared" si="3"/>
        <v>0</v>
      </c>
      <c r="L100" s="157"/>
      <c r="O100" s="1" t="s">
        <v>119</v>
      </c>
    </row>
    <row r="101" spans="1:15" ht="34.5" customHeight="1" outlineLevel="2">
      <c r="A101" s="16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9"/>
      <c r="C101" s="169"/>
      <c r="D101" s="169"/>
      <c r="E101" s="169"/>
      <c r="F101" s="169"/>
      <c r="G101" s="169"/>
      <c r="H101" s="169"/>
      <c r="I101" s="169"/>
      <c r="J101" s="18">
        <f t="shared" si="3"/>
        <v>0</v>
      </c>
      <c r="L101" s="157"/>
      <c r="O101" s="1" t="s">
        <v>120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4">
        <f>VLOOKUP("хвс",АО,5,FALSE)</f>
        <v>52245.31</v>
      </c>
      <c r="H102" s="153"/>
      <c r="I102" s="153"/>
      <c r="J102" s="153"/>
      <c r="L102" s="157"/>
    </row>
    <row r="103" spans="1:15" outlineLevel="2">
      <c r="A103" s="169" t="str">
        <f t="shared" ref="A103:A109" si="4">IF(VLOOKUP("хвс",АО,3,FALSE)&gt;0,VLOOKUP(O103,АО,2,FALSE),0)</f>
        <v>Общий объем потребления, нат. показ.</v>
      </c>
      <c r="B103" s="169"/>
      <c r="C103" s="169"/>
      <c r="D103" s="169"/>
      <c r="E103" s="169"/>
      <c r="F103" s="169"/>
      <c r="G103" s="169"/>
      <c r="H103" s="169"/>
      <c r="I103" s="169"/>
      <c r="J103" s="18">
        <f t="shared" ref="J103:J109" si="5">VLOOKUP(O103,АО,3,FALSE)</f>
        <v>3957.98</v>
      </c>
      <c r="L103" s="157"/>
      <c r="O103" s="1" t="s">
        <v>123</v>
      </c>
    </row>
    <row r="104" spans="1:15" ht="18.75" customHeight="1" outlineLevel="2">
      <c r="A104" s="169" t="str">
        <f t="shared" si="4"/>
        <v>Оплачено потребителями, руб.</v>
      </c>
      <c r="B104" s="169"/>
      <c r="C104" s="169"/>
      <c r="D104" s="169"/>
      <c r="E104" s="169"/>
      <c r="F104" s="169"/>
      <c r="G104" s="169"/>
      <c r="H104" s="169"/>
      <c r="I104" s="169"/>
      <c r="J104" s="18">
        <f t="shared" si="5"/>
        <v>59932.39</v>
      </c>
      <c r="L104" s="157"/>
      <c r="O104" s="1" t="s">
        <v>124</v>
      </c>
    </row>
    <row r="105" spans="1:15" ht="18.75" customHeight="1" outlineLevel="2">
      <c r="A105" s="169" t="str">
        <f t="shared" si="4"/>
        <v>Задолженность потребителей, руб.</v>
      </c>
      <c r="B105" s="169"/>
      <c r="C105" s="169"/>
      <c r="D105" s="169"/>
      <c r="E105" s="169"/>
      <c r="F105" s="169"/>
      <c r="G105" s="169"/>
      <c r="H105" s="169"/>
      <c r="I105" s="169"/>
      <c r="J105" s="18">
        <f t="shared" si="5"/>
        <v>0</v>
      </c>
      <c r="L105" s="157"/>
      <c r="O105" s="1" t="s">
        <v>125</v>
      </c>
    </row>
    <row r="106" spans="1:15" ht="36.75" customHeight="1" outlineLevel="2">
      <c r="A106" s="169" t="str">
        <f t="shared" si="4"/>
        <v>Начислено поставщиком (поставщиками) коммунального ресурса, руб.</v>
      </c>
      <c r="B106" s="169"/>
      <c r="C106" s="169"/>
      <c r="D106" s="169"/>
      <c r="E106" s="169"/>
      <c r="F106" s="169"/>
      <c r="G106" s="169"/>
      <c r="H106" s="169"/>
      <c r="I106" s="169"/>
      <c r="J106" s="18">
        <f t="shared" si="5"/>
        <v>52245.31</v>
      </c>
      <c r="L106" s="157"/>
      <c r="O106" s="1" t="s">
        <v>126</v>
      </c>
    </row>
    <row r="107" spans="1:15" ht="18.75" customHeight="1" outlineLevel="2">
      <c r="A107" s="169" t="str">
        <f t="shared" si="4"/>
        <v>Оплачено поставщику (поставщикам) коммунального ресурса, руб.</v>
      </c>
      <c r="B107" s="169"/>
      <c r="C107" s="169"/>
      <c r="D107" s="169"/>
      <c r="E107" s="169"/>
      <c r="F107" s="169"/>
      <c r="G107" s="169"/>
      <c r="H107" s="169"/>
      <c r="I107" s="169"/>
      <c r="J107" s="18">
        <f t="shared" si="5"/>
        <v>52245.31</v>
      </c>
      <c r="L107" s="157"/>
      <c r="O107" s="1" t="s">
        <v>127</v>
      </c>
    </row>
    <row r="108" spans="1:15" ht="37.5" customHeight="1" outlineLevel="2">
      <c r="A108" s="169" t="str">
        <f t="shared" si="4"/>
        <v>Задолженность перед поставщиком (поставщиками) коммунального ресурса, руб.</v>
      </c>
      <c r="B108" s="169"/>
      <c r="C108" s="169"/>
      <c r="D108" s="169"/>
      <c r="E108" s="169"/>
      <c r="F108" s="169"/>
      <c r="G108" s="169"/>
      <c r="H108" s="169"/>
      <c r="I108" s="169"/>
      <c r="J108" s="18">
        <f t="shared" si="5"/>
        <v>0</v>
      </c>
      <c r="L108" s="157"/>
      <c r="O108" s="1" t="s">
        <v>128</v>
      </c>
    </row>
    <row r="109" spans="1:15" ht="39.75" customHeight="1" outlineLevel="2">
      <c r="A109" s="169" t="str">
        <f t="shared" si="4"/>
        <v>Размер пени и штрафов, уплаченных поставщику (поставщикам) коммунального ресурса, руб.</v>
      </c>
      <c r="B109" s="169"/>
      <c r="C109" s="169"/>
      <c r="D109" s="169"/>
      <c r="E109" s="169"/>
      <c r="F109" s="169"/>
      <c r="G109" s="169"/>
      <c r="H109" s="169"/>
      <c r="I109" s="169"/>
      <c r="J109" s="18">
        <f t="shared" si="5"/>
        <v>0</v>
      </c>
      <c r="L109" s="157"/>
      <c r="O109" s="1" t="s">
        <v>129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4">
        <f>VLOOKUP("воо",АО,5,FALSE)</f>
        <v>107860.77</v>
      </c>
      <c r="H110" s="153"/>
      <c r="I110" s="153"/>
      <c r="J110" s="153"/>
      <c r="L110" s="157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6724.49</v>
      </c>
      <c r="L111" s="157"/>
      <c r="O111" s="1" t="s">
        <v>131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120999.45</v>
      </c>
      <c r="L112" s="157"/>
      <c r="O112" s="1" t="s">
        <v>132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57"/>
      <c r="O113" s="1" t="s">
        <v>133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107860.77</v>
      </c>
      <c r="L114" s="157"/>
      <c r="O114" s="1" t="s">
        <v>134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107860.77</v>
      </c>
      <c r="L115" s="157"/>
      <c r="O115" s="1" t="s">
        <v>135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57"/>
      <c r="O116" s="1" t="s">
        <v>136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57"/>
      <c r="O117" s="1" t="s">
        <v>137</v>
      </c>
    </row>
    <row r="118" spans="1:15" ht="32.25" customHeight="1" outlineLevel="1">
      <c r="A118" s="152" t="str">
        <f>IF(VLOOKUP("тко",АО,3,FALSE)&gt;0,"Обращение с ТКО",0)</f>
        <v>Обращение с ТКО</v>
      </c>
      <c r="B118" s="152"/>
      <c r="C118" s="152"/>
      <c r="D118" s="153" t="str">
        <f>IF(VLOOKUP("тко",АО,3,FALSE)&gt;0,VLOOKUP("тко",АО,3,FALSE),0)</f>
        <v>Предоставляется</v>
      </c>
      <c r="E118" s="153"/>
      <c r="F118" s="13" t="str">
        <f>IF(VLOOKUP("тко",АО,3,FALSE)&gt;0,VLOOKUP("тко",АО,4,FALSE),0)</f>
        <v>куб.м.</v>
      </c>
      <c r="G118" s="154">
        <f>VLOOKUP("тко",АО,5,FALSE)</f>
        <v>122189.84</v>
      </c>
      <c r="H118" s="153"/>
      <c r="I118" s="153"/>
      <c r="J118" s="153"/>
      <c r="L118" s="48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227.18</v>
      </c>
      <c r="L119" s="48"/>
      <c r="O119" s="1" t="s">
        <v>139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133536.65</v>
      </c>
      <c r="L120" s="48"/>
      <c r="O120" s="1" t="s">
        <v>140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8"/>
      <c r="O121" s="1" t="s">
        <v>141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122189.84</v>
      </c>
      <c r="L122" s="48"/>
      <c r="O122" s="1" t="s">
        <v>142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122189.84</v>
      </c>
      <c r="L123" s="48"/>
      <c r="O123" s="1" t="s">
        <v>143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8"/>
      <c r="O124" s="1" t="s">
        <v>144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8"/>
      <c r="O125" s="1" t="s">
        <v>145</v>
      </c>
    </row>
    <row r="126" spans="1:15" ht="32.25" customHeight="1" outlineLevel="1">
      <c r="A126" s="152" t="str">
        <f>IF(VLOOKUP("гвс",АО,3,FALSE)&gt;0,"Горячее водоснабжение",0)</f>
        <v>Горячее водоснабжение</v>
      </c>
      <c r="B126" s="152"/>
      <c r="C126" s="152"/>
      <c r="D126" s="153" t="str">
        <f>IF(VLOOKUP("гвс",АО,3,FALSE)&gt;0,VLOOKUP("гвс",АО,3,FALSE),0)</f>
        <v>Предоставляется</v>
      </c>
      <c r="E126" s="153"/>
      <c r="F126" s="13" t="str">
        <f>IF(VLOOKUP("гвс",АО,3,FALSE)&gt;0,VLOOKUP("гвс",АО,4,FALSE),0)</f>
        <v>куб.м.</v>
      </c>
      <c r="G126" s="154">
        <f>VLOOKUP("гвс",АО,5,FALSE)</f>
        <v>34924.800000000003</v>
      </c>
      <c r="H126" s="153"/>
      <c r="I126" s="153"/>
      <c r="J126" s="153"/>
      <c r="L126" s="48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2645.82</v>
      </c>
      <c r="L127" s="48"/>
      <c r="O127" s="1" t="s">
        <v>147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39900.17</v>
      </c>
      <c r="L128" s="48"/>
      <c r="O128" s="1" t="s">
        <v>148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8"/>
      <c r="O129" s="1" t="s">
        <v>149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34924.800000000003</v>
      </c>
      <c r="L130" s="48"/>
      <c r="O130" s="1" t="s">
        <v>150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34924.800000000003</v>
      </c>
      <c r="L131" s="48"/>
      <c r="O131" s="1" t="s">
        <v>151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8"/>
      <c r="O132" s="1" t="s">
        <v>152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8"/>
      <c r="O133" s="1" t="s">
        <v>153</v>
      </c>
    </row>
    <row r="134" spans="1:15" ht="32.25" hidden="1" customHeight="1" outlineLevel="1">
      <c r="A134" s="152">
        <f>IF(VLOOKUP("отопление",АО,3,FALSE)&gt;0,"Отопление",0)</f>
        <v>0</v>
      </c>
      <c r="B134" s="152"/>
      <c r="C134" s="152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3"/>
      <c r="I134" s="153"/>
      <c r="J134" s="153"/>
      <c r="L134" s="48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8"/>
      <c r="O135" s="1" t="s">
        <v>155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8"/>
      <c r="O136" s="1" t="s">
        <v>156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8"/>
      <c r="O137" s="1" t="s">
        <v>157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8"/>
      <c r="O138" s="1" t="s">
        <v>158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8"/>
      <c r="O139" s="1" t="s">
        <v>159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8"/>
      <c r="O140" s="1" t="s">
        <v>160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171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48" t="s">
        <v>174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23069.040000000001</v>
      </c>
      <c r="O146" t="s">
        <v>173</v>
      </c>
    </row>
    <row r="149" spans="1:15" ht="52.5" customHeight="1">
      <c r="A149" s="173" t="s">
        <v>179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5" t="s">
        <v>182</v>
      </c>
      <c r="B154" s="175"/>
      <c r="C154" s="175"/>
      <c r="D154" s="175"/>
      <c r="E154" s="27">
        <f>ПТО!G1</f>
        <v>-237678.41</v>
      </c>
    </row>
    <row r="155" spans="1:15" ht="34.5" customHeight="1">
      <c r="A155" s="174" t="s">
        <v>184</v>
      </c>
      <c r="B155" s="174"/>
      <c r="C155" s="174"/>
      <c r="D155" s="174"/>
      <c r="E155" s="28">
        <f>J13</f>
        <v>150402.09599999999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0" t="str">
        <f t="shared" ref="A158:A163" si="14">IF(N158&gt;0,N158,0)</f>
        <v>Техническое освидетельствование лифта.</v>
      </c>
      <c r="B158" s="150"/>
      <c r="C158" s="150"/>
      <c r="D158" s="150"/>
      <c r="E158" s="150"/>
      <c r="F158" s="155">
        <f t="shared" ref="F158:F163" si="15">IF(ISERROR(VLOOKUP(A158,$A$28:$J$72,6,FALSE)),0,VLOOKUP(A158,$A$28:$J$72,6,FALSE))</f>
        <v>8100</v>
      </c>
      <c r="G158" s="155"/>
      <c r="H158" s="24" t="str">
        <f t="shared" ref="H158:H187" si="16">VLOOKUP(A158,$A$28:$J$72,8,FALSE)</f>
        <v>ежегодно</v>
      </c>
      <c r="I158" s="151">
        <f t="shared" ref="I158:I161" si="17">VLOOKUP(A158,$A$28:$J$72,9,FALSE)</f>
        <v>1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0" t="str">
        <f t="shared" si="14"/>
        <v>Приобретение и установка доводчика тамбурной двери.</v>
      </c>
      <c r="B159" s="150"/>
      <c r="C159" s="150"/>
      <c r="D159" s="150"/>
      <c r="E159" s="150"/>
      <c r="F159" s="155">
        <f t="shared" si="15"/>
        <v>1200</v>
      </c>
      <c r="G159" s="155"/>
      <c r="H159" s="24" t="str">
        <f t="shared" si="16"/>
        <v>разово</v>
      </c>
      <c r="I159" s="151">
        <f t="shared" si="17"/>
        <v>1</v>
      </c>
      <c r="J159" s="151"/>
      <c r="M159" s="22" t="s">
        <v>72</v>
      </c>
      <c r="N159" s="1" t="str">
        <v>Приобретение и установка доводчика тамбурной двери.</v>
      </c>
    </row>
    <row r="160" spans="1:15" ht="28.5" customHeight="1">
      <c r="A160" s="150" t="str">
        <f t="shared" si="14"/>
        <v>Механизированная уборка и вывоз снега с придомовой территории.</v>
      </c>
      <c r="B160" s="150"/>
      <c r="C160" s="150"/>
      <c r="D160" s="150"/>
      <c r="E160" s="150"/>
      <c r="F160" s="155">
        <f t="shared" si="15"/>
        <v>14000</v>
      </c>
      <c r="G160" s="155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0" t="str">
        <f>IF(N161&gt;0,N161,0)</f>
        <v>Приобретение и замена замка дверей шахты пассажирского лифта.</v>
      </c>
      <c r="B161" s="150"/>
      <c r="C161" s="150"/>
      <c r="D161" s="150"/>
      <c r="E161" s="150"/>
      <c r="F161" s="155">
        <f t="shared" si="15"/>
        <v>1850</v>
      </c>
      <c r="G161" s="155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Приобретение и замена замка дверей шахты пассажирского лифта.</v>
      </c>
    </row>
    <row r="162" spans="1:14" ht="28.5" customHeight="1">
      <c r="A162" s="150" t="str">
        <f t="shared" si="14"/>
        <v>Приобретение и установка ОДПУ ХВС.</v>
      </c>
      <c r="B162" s="150"/>
      <c r="C162" s="150"/>
      <c r="D162" s="150"/>
      <c r="E162" s="150"/>
      <c r="F162" s="155">
        <f t="shared" si="15"/>
        <v>4284.33</v>
      </c>
      <c r="G162" s="155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72</v>
      </c>
      <c r="N162" s="1" t="str">
        <v>Приобретение и установка ОДПУ ХВС.</v>
      </c>
    </row>
    <row r="163" spans="1:14" ht="28.5" hidden="1" customHeight="1">
      <c r="A163" s="150">
        <f t="shared" si="14"/>
        <v>0</v>
      </c>
      <c r="B163" s="150"/>
      <c r="C163" s="150"/>
      <c r="D163" s="150"/>
      <c r="E163" s="150"/>
      <c r="F163" s="155">
        <f t="shared" si="15"/>
        <v>0</v>
      </c>
      <c r="G163" s="155"/>
      <c r="H163" s="24" t="e">
        <f t="shared" si="16"/>
        <v>#N/A</v>
      </c>
      <c r="I163" s="151" t="e">
        <f>VLOOKUP(A163,$A$28:$J$72,9,FALSE)</f>
        <v>#N/A</v>
      </c>
      <c r="J163" s="151"/>
      <c r="M163" s="22" t="s">
        <v>72</v>
      </c>
      <c r="N163" s="1">
        <v>0</v>
      </c>
    </row>
    <row r="164" spans="1:14" ht="28.5" hidden="1" customHeight="1">
      <c r="A164" s="150">
        <f t="shared" ref="A164:A187" si="18">IF(N164&gt;0,N164,0)</f>
        <v>0</v>
      </c>
      <c r="B164" s="150"/>
      <c r="C164" s="150"/>
      <c r="D164" s="150"/>
      <c r="E164" s="150"/>
      <c r="F164" s="155">
        <f t="shared" ref="F164:F187" si="19">IF(ISERROR(VLOOKUP(A164,$A$28:$J$72,6,FALSE)),0,VLOOKUP(A164,$A$28:$J$72,6,FALSE))</f>
        <v>0</v>
      </c>
      <c r="G164" s="155"/>
      <c r="H164" s="29" t="e">
        <f t="shared" si="16"/>
        <v>#N/A</v>
      </c>
      <c r="I164" s="151" t="e">
        <f t="shared" ref="I164:I187" si="20">VLOOKUP(A164,$A$28:$J$72,9,FALSE)</f>
        <v>#N/A</v>
      </c>
      <c r="J164" s="151"/>
      <c r="M164" s="22" t="s">
        <v>72</v>
      </c>
      <c r="N164" s="1">
        <v>0</v>
      </c>
    </row>
    <row r="165" spans="1:14" ht="28.5" hidden="1" customHeight="1">
      <c r="A165" s="150">
        <f t="shared" si="18"/>
        <v>0</v>
      </c>
      <c r="B165" s="150"/>
      <c r="C165" s="150"/>
      <c r="D165" s="150"/>
      <c r="E165" s="150"/>
      <c r="F165" s="155">
        <f t="shared" si="19"/>
        <v>0</v>
      </c>
      <c r="G165" s="155"/>
      <c r="H165" s="29" t="e">
        <f t="shared" si="16"/>
        <v>#N/A</v>
      </c>
      <c r="I165" s="151" t="e">
        <f t="shared" si="20"/>
        <v>#N/A</v>
      </c>
      <c r="J165" s="151"/>
      <c r="M165" s="22" t="s">
        <v>72</v>
      </c>
      <c r="N165" s="1">
        <v>0</v>
      </c>
    </row>
    <row r="166" spans="1:14" ht="28.5" hidden="1" customHeight="1">
      <c r="A166" s="150">
        <f t="shared" si="18"/>
        <v>0</v>
      </c>
      <c r="B166" s="150"/>
      <c r="C166" s="150"/>
      <c r="D166" s="150"/>
      <c r="E166" s="150"/>
      <c r="F166" s="155">
        <f t="shared" si="19"/>
        <v>0</v>
      </c>
      <c r="G166" s="155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5">
        <f t="shared" si="19"/>
        <v>0</v>
      </c>
      <c r="G167" s="155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5">
        <f t="shared" si="19"/>
        <v>0</v>
      </c>
      <c r="G168" s="155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5">
        <f t="shared" si="19"/>
        <v>0</v>
      </c>
      <c r="G169" s="155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5">
        <f t="shared" si="19"/>
        <v>0</v>
      </c>
      <c r="G170" s="155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5">
        <f t="shared" si="19"/>
        <v>0</v>
      </c>
      <c r="G171" s="155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5">
        <f t="shared" si="19"/>
        <v>0</v>
      </c>
      <c r="G172" s="155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5">
        <f t="shared" si="19"/>
        <v>0</v>
      </c>
      <c r="G173" s="155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5">
        <f t="shared" si="19"/>
        <v>0</v>
      </c>
      <c r="G174" s="155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5">
        <f t="shared" si="19"/>
        <v>0</v>
      </c>
      <c r="G175" s="155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5">
        <f t="shared" si="19"/>
        <v>0</v>
      </c>
      <c r="G176" s="155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5">
        <f t="shared" si="19"/>
        <v>0</v>
      </c>
      <c r="G177" s="155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5">
        <f t="shared" si="19"/>
        <v>0</v>
      </c>
      <c r="G178" s="155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5">
        <f t="shared" si="19"/>
        <v>0</v>
      </c>
      <c r="G179" s="155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5">
        <f t="shared" si="19"/>
        <v>0</v>
      </c>
      <c r="G180" s="155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5">
        <f t="shared" si="19"/>
        <v>0</v>
      </c>
      <c r="G181" s="155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5">
        <f t="shared" si="19"/>
        <v>0</v>
      </c>
      <c r="G182" s="155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5">
        <f t="shared" si="19"/>
        <v>0</v>
      </c>
      <c r="G183" s="155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5">
        <f t="shared" si="19"/>
        <v>0</v>
      </c>
      <c r="G184" s="155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5">
        <f t="shared" si="19"/>
        <v>0</v>
      </c>
      <c r="G185" s="155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5">
        <f t="shared" si="19"/>
        <v>0</v>
      </c>
      <c r="G186" s="155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5">
        <f t="shared" si="19"/>
        <v>0</v>
      </c>
      <c r="G187" s="155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75" t="s">
        <v>185</v>
      </c>
      <c r="B190" s="175"/>
      <c r="C190" s="175"/>
      <c r="D190" s="175"/>
      <c r="E190" s="27">
        <f>SUM(F158:G187)</f>
        <v>29434.33</v>
      </c>
    </row>
    <row r="191" spans="1:14" ht="51.75" customHeight="1">
      <c r="A191" s="175" t="s">
        <v>186</v>
      </c>
      <c r="B191" s="175"/>
      <c r="C191" s="175"/>
      <c r="D191" s="175"/>
      <c r="E191" s="27">
        <f>E190+E154-E155</f>
        <v>-358646.17599999998</v>
      </c>
    </row>
    <row r="192" spans="1:14">
      <c r="A192" s="105" t="s">
        <v>175</v>
      </c>
    </row>
    <row r="193" spans="1:10" ht="62.25" customHeight="1">
      <c r="A193" s="149" t="s">
        <v>183</v>
      </c>
      <c r="B193" s="149"/>
      <c r="C193" s="149"/>
      <c r="D193" s="149"/>
      <c r="E193" s="149"/>
      <c r="F193" s="149"/>
      <c r="G193" s="149"/>
      <c r="H193" s="149"/>
      <c r="I193" s="149"/>
      <c r="J193" s="149"/>
    </row>
    <row r="194" spans="1:10">
      <c r="A194" s="147" t="str">
        <f>ПТО!F12</f>
        <v xml:space="preserve">  -  поверка (замена) манометров и термометров</v>
      </c>
      <c r="B194" s="147"/>
      <c r="C194" s="147"/>
      <c r="D194" s="147"/>
      <c r="E194" s="147"/>
      <c r="F194" s="147"/>
      <c r="G194" s="147"/>
      <c r="H194" s="50">
        <f>ПТО!G12</f>
        <v>1200</v>
      </c>
      <c r="I194" s="51" t="s">
        <v>75</v>
      </c>
    </row>
    <row r="195" spans="1:10" ht="18.75" customHeight="1">
      <c r="A195" s="147" t="str">
        <f>ПТО!F13</f>
        <v xml:space="preserve">  -  техническое освидетельствование лифта</v>
      </c>
      <c r="B195" s="147"/>
      <c r="C195" s="147"/>
      <c r="D195" s="147"/>
      <c r="E195" s="147"/>
      <c r="F195" s="147"/>
      <c r="G195" s="147"/>
      <c r="H195" s="50">
        <f>ПТО!G13</f>
        <v>8100</v>
      </c>
      <c r="I195" s="51" t="s">
        <v>75</v>
      </c>
    </row>
    <row r="196" spans="1:10" ht="18.75" customHeight="1">
      <c r="A196" s="147" t="str">
        <f>ПТО!F14</f>
        <v xml:space="preserve">  -  ремонт подъезда</v>
      </c>
      <c r="B196" s="147"/>
      <c r="C196" s="147"/>
      <c r="D196" s="147"/>
      <c r="E196" s="147"/>
      <c r="F196" s="147"/>
      <c r="G196" s="147"/>
      <c r="H196" s="50">
        <f>ПТО!G14</f>
        <v>350000</v>
      </c>
      <c r="I196" s="51" t="s">
        <v>75</v>
      </c>
    </row>
    <row r="197" spans="1:10" ht="18.75" hidden="1" customHeight="1">
      <c r="A197" s="147">
        <f>ПТО!F15</f>
        <v>0</v>
      </c>
      <c r="B197" s="147"/>
      <c r="C197" s="147"/>
      <c r="D197" s="147"/>
      <c r="E197" s="147"/>
      <c r="F197" s="147"/>
      <c r="G197" s="147"/>
      <c r="H197" s="50">
        <f>ПТО!G15</f>
        <v>0</v>
      </c>
      <c r="I197" s="51" t="s">
        <v>75</v>
      </c>
    </row>
    <row r="198" spans="1:10" ht="18.75" hidden="1" customHeight="1">
      <c r="A198" s="147">
        <f>ПТО!F16</f>
        <v>0</v>
      </c>
      <c r="B198" s="147"/>
      <c r="C198" s="147"/>
      <c r="D198" s="147"/>
      <c r="E198" s="147"/>
      <c r="F198" s="147"/>
      <c r="G198" s="147"/>
      <c r="H198" s="50">
        <f>ПТО!G16</f>
        <v>0</v>
      </c>
      <c r="I198" s="53" t="s">
        <v>75</v>
      </c>
    </row>
    <row r="199" spans="1:10" ht="18.75" hidden="1" customHeight="1">
      <c r="A199" s="147">
        <f>ПТО!F17</f>
        <v>0</v>
      </c>
      <c r="B199" s="147"/>
      <c r="C199" s="147"/>
      <c r="D199" s="147"/>
      <c r="E199" s="147"/>
      <c r="F199" s="147"/>
      <c r="G199" s="147"/>
      <c r="H199" s="50">
        <f>ПТО!G17</f>
        <v>0</v>
      </c>
      <c r="I199" s="51" t="s">
        <v>75</v>
      </c>
    </row>
    <row r="200" spans="1:10" hidden="1">
      <c r="A200" s="147">
        <f>ПТО!F18</f>
        <v>0</v>
      </c>
      <c r="B200" s="147"/>
      <c r="C200" s="147"/>
      <c r="D200" s="147"/>
      <c r="E200" s="147"/>
      <c r="F200" s="147"/>
      <c r="G200" s="147"/>
      <c r="H200" s="50">
        <f>ПТО!G18</f>
        <v>0</v>
      </c>
      <c r="I200" s="51" t="s">
        <v>75</v>
      </c>
    </row>
    <row r="201" spans="1:10" hidden="1">
      <c r="A201" s="147">
        <f>ПТО!F19</f>
        <v>0</v>
      </c>
      <c r="B201" s="147"/>
      <c r="C201" s="147"/>
      <c r="D201" s="147"/>
      <c r="E201" s="147"/>
      <c r="F201" s="147"/>
      <c r="G201" s="147"/>
      <c r="H201" s="50">
        <f>ПТО!G19</f>
        <v>0</v>
      </c>
      <c r="I201" s="51" t="s">
        <v>75</v>
      </c>
    </row>
    <row r="202" spans="1:10" hidden="1">
      <c r="A202" s="147">
        <f>ПТО!F20</f>
        <v>0</v>
      </c>
      <c r="B202" s="147"/>
      <c r="C202" s="147"/>
      <c r="D202" s="147"/>
      <c r="E202" s="147"/>
      <c r="F202" s="147"/>
      <c r="G202" s="147"/>
      <c r="H202" s="50">
        <f>ПТО!G20</f>
        <v>0</v>
      </c>
      <c r="I202" s="51" t="s">
        <v>75</v>
      </c>
    </row>
    <row r="203" spans="1:10" hidden="1">
      <c r="A203" s="147">
        <f>ПТО!F21</f>
        <v>0</v>
      </c>
      <c r="B203" s="147"/>
      <c r="C203" s="147"/>
      <c r="D203" s="147"/>
      <c r="E203" s="147"/>
      <c r="F203" s="147"/>
      <c r="G203" s="147"/>
      <c r="H203" s="50">
        <f>ПТО!G21</f>
        <v>0</v>
      </c>
      <c r="I203" s="51" t="s">
        <v>75</v>
      </c>
    </row>
    <row r="204" spans="1:10" hidden="1">
      <c r="A204" s="147">
        <f>ПТО!F22</f>
        <v>0</v>
      </c>
      <c r="B204" s="147"/>
      <c r="C204" s="147"/>
      <c r="D204" s="147"/>
      <c r="E204" s="147"/>
      <c r="F204" s="147"/>
      <c r="G204" s="147"/>
      <c r="H204" s="50">
        <f>ПТО!G22</f>
        <v>0</v>
      </c>
      <c r="I204" s="51" t="s">
        <v>75</v>
      </c>
    </row>
    <row r="205" spans="1:10" hidden="1">
      <c r="A205" s="147">
        <f>ПТО!F23</f>
        <v>0</v>
      </c>
      <c r="B205" s="147"/>
      <c r="C205" s="147"/>
      <c r="D205" s="147"/>
      <c r="E205" s="147"/>
      <c r="F205" s="147"/>
      <c r="G205" s="147"/>
      <c r="H205" s="50">
        <f>ПТО!G23</f>
        <v>0</v>
      </c>
      <c r="I205" s="51" t="s">
        <v>75</v>
      </c>
    </row>
    <row r="206" spans="1:10" hidden="1">
      <c r="A206" s="147">
        <f>ПТО!F24</f>
        <v>0</v>
      </c>
      <c r="B206" s="147"/>
      <c r="C206" s="147"/>
      <c r="D206" s="147"/>
      <c r="E206" s="147"/>
      <c r="F206" s="147"/>
      <c r="G206" s="147"/>
      <c r="H206" s="50">
        <f>ПТО!G24</f>
        <v>0</v>
      </c>
      <c r="I206" s="51" t="s">
        <v>75</v>
      </c>
    </row>
    <row r="207" spans="1:10" hidden="1">
      <c r="A207" s="147">
        <f>ПТО!F25</f>
        <v>0</v>
      </c>
      <c r="B207" s="147"/>
      <c r="C207" s="147"/>
      <c r="D207" s="147"/>
      <c r="E207" s="147"/>
      <c r="F207" s="147"/>
      <c r="G207" s="147"/>
      <c r="H207" s="50">
        <f>ПТО!G25</f>
        <v>0</v>
      </c>
      <c r="I207" s="51" t="s">
        <v>75</v>
      </c>
    </row>
    <row r="208" spans="1:10" hidden="1">
      <c r="A208" s="147">
        <f>ПТО!F26</f>
        <v>0</v>
      </c>
      <c r="B208" s="147"/>
      <c r="C208" s="147"/>
      <c r="D208" s="147"/>
      <c r="E208" s="147"/>
      <c r="F208" s="147"/>
      <c r="G208" s="147"/>
      <c r="H208" s="50">
        <f>ПТО!G26</f>
        <v>0</v>
      </c>
      <c r="I208" s="51" t="s">
        <v>75</v>
      </c>
    </row>
    <row r="209" spans="1:9" hidden="1">
      <c r="A209" s="147">
        <f>ПТО!F27</f>
        <v>0</v>
      </c>
      <c r="B209" s="147"/>
      <c r="C209" s="147"/>
      <c r="D209" s="147"/>
      <c r="E209" s="147"/>
      <c r="F209" s="147"/>
      <c r="G209" s="147"/>
      <c r="H209" s="50">
        <f>ПТО!G27</f>
        <v>0</v>
      </c>
      <c r="I209" s="51" t="s">
        <v>75</v>
      </c>
    </row>
    <row r="210" spans="1:9" hidden="1">
      <c r="A210" s="147">
        <f>ПТО!F28</f>
        <v>0</v>
      </c>
      <c r="B210" s="147"/>
      <c r="C210" s="147"/>
      <c r="D210" s="147"/>
      <c r="E210" s="147"/>
      <c r="F210" s="147"/>
      <c r="G210" s="147"/>
      <c r="H210" s="50">
        <f>ПТО!G28</f>
        <v>0</v>
      </c>
      <c r="I210" s="51" t="s">
        <v>75</v>
      </c>
    </row>
    <row r="211" spans="1:9" hidden="1">
      <c r="A211" s="147">
        <f>ПТО!F29</f>
        <v>0</v>
      </c>
      <c r="B211" s="147"/>
      <c r="C211" s="147"/>
      <c r="D211" s="147"/>
      <c r="E211" s="147"/>
      <c r="F211" s="147"/>
      <c r="G211" s="147"/>
      <c r="H211" s="50">
        <f>ПТО!G29</f>
        <v>0</v>
      </c>
      <c r="I211" s="51" t="s">
        <v>75</v>
      </c>
    </row>
    <row r="212" spans="1:9" hidden="1">
      <c r="A212" s="147">
        <f>ПТО!F30</f>
        <v>0</v>
      </c>
      <c r="B212" s="147"/>
      <c r="C212" s="147"/>
      <c r="D212" s="147"/>
      <c r="E212" s="147"/>
      <c r="F212" s="147"/>
      <c r="G212" s="147"/>
      <c r="H212" s="50">
        <f>ПТО!G30</f>
        <v>0</v>
      </c>
      <c r="I212" s="51" t="s">
        <v>75</v>
      </c>
    </row>
    <row r="213" spans="1:9" hidden="1">
      <c r="A213" s="147">
        <f>ПТО!F31</f>
        <v>0</v>
      </c>
      <c r="B213" s="147"/>
      <c r="C213" s="147"/>
      <c r="D213" s="147"/>
      <c r="E213" s="147"/>
      <c r="F213" s="147"/>
      <c r="G213" s="147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359300</v>
      </c>
      <c r="I214" s="57" t="s">
        <v>78</v>
      </c>
    </row>
  </sheetData>
  <sheetProtection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A4" sqref="A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182</v>
      </c>
      <c r="G1" s="102">
        <f>-237678.41</f>
        <v>-237678.41</v>
      </c>
    </row>
    <row r="2" spans="1:12" ht="18.75" customHeight="1">
      <c r="A2" s="143" t="s">
        <v>73</v>
      </c>
      <c r="B2" s="144" t="s">
        <v>180</v>
      </c>
      <c r="C2" s="144">
        <v>1</v>
      </c>
      <c r="D2" s="145">
        <v>8100</v>
      </c>
      <c r="E2" s="146"/>
      <c r="F2" s="32"/>
      <c r="G2" s="32"/>
      <c r="L2" s="33" t="str">
        <f t="shared" ref="L2:L22" si="0">IF(A2&gt;0,"ТР",0)</f>
        <v>ТР</v>
      </c>
    </row>
    <row r="3" spans="1:12" ht="18.75" customHeight="1">
      <c r="A3" s="133" t="s">
        <v>187</v>
      </c>
      <c r="B3" s="134" t="s">
        <v>188</v>
      </c>
      <c r="C3" s="119">
        <v>1</v>
      </c>
      <c r="D3" s="120">
        <v>1200</v>
      </c>
      <c r="E3" s="135" t="s">
        <v>189</v>
      </c>
      <c r="F3" s="30"/>
      <c r="G3" s="30"/>
      <c r="L3" s="33" t="str">
        <f t="shared" si="0"/>
        <v>ТР</v>
      </c>
    </row>
    <row r="4" spans="1:12" ht="18.75" customHeight="1">
      <c r="A4" s="130" t="s">
        <v>197</v>
      </c>
      <c r="B4" s="123" t="s">
        <v>188</v>
      </c>
      <c r="C4" s="123">
        <v>1</v>
      </c>
      <c r="D4" s="132">
        <v>14000</v>
      </c>
      <c r="E4" s="128" t="s">
        <v>190</v>
      </c>
      <c r="F4" s="30"/>
      <c r="G4" s="30"/>
      <c r="L4" s="33" t="str">
        <f t="shared" si="0"/>
        <v>ТР</v>
      </c>
    </row>
    <row r="5" spans="1:12" ht="18.75" customHeight="1">
      <c r="A5" s="130" t="s">
        <v>193</v>
      </c>
      <c r="B5" s="123" t="s">
        <v>188</v>
      </c>
      <c r="C5" s="131">
        <v>1</v>
      </c>
      <c r="D5" s="132">
        <v>1850</v>
      </c>
      <c r="E5" s="128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136" t="s">
        <v>192</v>
      </c>
      <c r="B6" s="137" t="s">
        <v>188</v>
      </c>
      <c r="C6" s="138">
        <v>1</v>
      </c>
      <c r="D6" s="139">
        <v>4284.33</v>
      </c>
      <c r="E6" s="140" t="s">
        <v>191</v>
      </c>
      <c r="F6" s="45"/>
      <c r="G6" s="45"/>
      <c r="K6" s="47"/>
      <c r="L6" s="33" t="str">
        <f t="shared" si="0"/>
        <v>ТР</v>
      </c>
    </row>
    <row r="7" spans="1:12" ht="18.75" customHeight="1">
      <c r="A7" s="130"/>
      <c r="B7" s="123"/>
      <c r="C7" s="131"/>
      <c r="D7" s="132"/>
      <c r="E7" s="128"/>
      <c r="F7" s="46"/>
      <c r="G7" s="46"/>
      <c r="K7" s="47"/>
      <c r="L7" s="33">
        <f t="shared" si="0"/>
        <v>0</v>
      </c>
    </row>
    <row r="8" spans="1:12" ht="18.75" customHeight="1">
      <c r="A8" s="45"/>
      <c r="B8" s="129"/>
      <c r="C8" s="43"/>
      <c r="D8" s="44"/>
      <c r="E8" s="45"/>
      <c r="F8" s="46"/>
      <c r="G8" s="46"/>
      <c r="K8" s="44"/>
      <c r="L8" s="33">
        <f t="shared" si="0"/>
        <v>0</v>
      </c>
    </row>
    <row r="9" spans="1:12">
      <c r="A9" s="121"/>
      <c r="B9" s="122"/>
      <c r="C9" s="123"/>
      <c r="D9" s="47"/>
      <c r="F9" s="45"/>
      <c r="G9" s="45"/>
      <c r="K9" s="44"/>
      <c r="L9" s="33">
        <f t="shared" si="0"/>
        <v>0</v>
      </c>
    </row>
    <row r="10" spans="1:12">
      <c r="A10" s="124"/>
      <c r="B10" s="125"/>
      <c r="C10" s="126"/>
      <c r="D10" s="127"/>
      <c r="E10" s="128"/>
      <c r="L10" s="33">
        <f t="shared" si="0"/>
        <v>0</v>
      </c>
    </row>
    <row r="11" spans="1:12" ht="94.5">
      <c r="A11" s="30"/>
      <c r="F11" s="112" t="s">
        <v>183</v>
      </c>
      <c r="G11" s="112"/>
      <c r="L11" s="33">
        <f t="shared" si="0"/>
        <v>0</v>
      </c>
    </row>
    <row r="12" spans="1:12" ht="31.5">
      <c r="A12" s="30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8100</v>
      </c>
      <c r="L13" s="33">
        <f t="shared" si="0"/>
        <v>0</v>
      </c>
    </row>
    <row r="14" spans="1:12" ht="15.75">
      <c r="A14" s="30"/>
      <c r="F14" s="113" t="s">
        <v>196</v>
      </c>
      <c r="G14" s="114">
        <v>350000</v>
      </c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158334.72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158334.72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126604.32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126604.32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46643.64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46643.64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38076.480000000003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38076.480000000003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12692.16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12692.16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50451.360000000001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50451.360000000001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53941.68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53941.68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195</v>
      </c>
      <c r="B47" s="141">
        <f>(E47*3.48*1.23*6+E47*3.48*1.17*6)+(F47*0.075*13.45*6+F47*0.075*12.94*6)+(F47*0.075*16.35*6+F47*0.075*15.73*6)</f>
        <v>48592.854449999999</v>
      </c>
      <c r="C47" s="142" t="s">
        <v>68</v>
      </c>
      <c r="D47" s="49">
        <v>12</v>
      </c>
      <c r="E47" s="141">
        <v>799.2</v>
      </c>
      <c r="F47" s="141">
        <v>324.7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48592.854449999999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C33" sqref="C33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181</v>
      </c>
      <c r="F1" s="61">
        <v>2644.2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266282.09999999998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642610.36600000004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v>492208.27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F1*4.74*12</f>
        <v>150402.09599999999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696849.78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696849.78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696849.78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212042.68599999999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8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8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8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8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7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7"/>
      <c r="N26" s="64"/>
    </row>
    <row r="27" spans="1:15" ht="18.75" customHeight="1">
      <c r="A27" s="71" t="s">
        <v>106</v>
      </c>
      <c r="B27" s="76" t="s">
        <v>4</v>
      </c>
      <c r="C27" s="87">
        <v>121246.92</v>
      </c>
      <c r="D27" s="82" t="s">
        <v>60</v>
      </c>
      <c r="E27" s="65"/>
      <c r="F27" s="65"/>
      <c r="G27" s="65"/>
      <c r="H27" s="65"/>
      <c r="I27" s="65"/>
      <c r="J27" s="65"/>
      <c r="M27" s="177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7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7"/>
      <c r="N29" s="64"/>
    </row>
    <row r="30" spans="1:15" ht="18.75" customHeight="1">
      <c r="A30" s="71" t="s">
        <v>109</v>
      </c>
      <c r="B30" s="76" t="s">
        <v>18</v>
      </c>
      <c r="C30" s="87">
        <v>113369.68</v>
      </c>
      <c r="D30" s="82" t="s">
        <v>66</v>
      </c>
      <c r="E30" s="65"/>
      <c r="F30" s="65"/>
      <c r="G30" s="65"/>
      <c r="H30" s="65"/>
      <c r="I30" s="65"/>
      <c r="J30" s="65"/>
      <c r="M30" s="177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7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7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7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7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175624.23</v>
      </c>
      <c r="F37" s="95" t="s">
        <v>168</v>
      </c>
      <c r="G37" s="67"/>
      <c r="H37" s="67"/>
      <c r="I37" s="67"/>
      <c r="L37" s="64"/>
      <c r="M37" s="176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146353.53</v>
      </c>
      <c r="D38" s="95" t="s">
        <v>166</v>
      </c>
      <c r="E38" s="69"/>
      <c r="G38" s="68"/>
      <c r="H38" s="68"/>
      <c r="L38" s="64"/>
      <c r="M38" s="176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188000.18</v>
      </c>
      <c r="D39" s="95" t="s">
        <v>167</v>
      </c>
      <c r="E39" s="69"/>
      <c r="G39" s="68"/>
      <c r="H39" s="68"/>
      <c r="L39" s="64"/>
      <c r="M39" s="176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6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175624.23</v>
      </c>
      <c r="D41" s="81" t="s">
        <v>59</v>
      </c>
      <c r="E41" s="69"/>
      <c r="G41" s="68"/>
      <c r="H41" s="68"/>
      <c r="L41" s="64"/>
      <c r="M41" s="176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175624.23</v>
      </c>
      <c r="D42" s="81" t="s">
        <v>59</v>
      </c>
      <c r="E42" s="69"/>
      <c r="G42" s="68"/>
      <c r="H42" s="68"/>
      <c r="L42" s="64"/>
      <c r="M42" s="176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6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6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52245.31</v>
      </c>
      <c r="F45" s="95" t="s">
        <v>168</v>
      </c>
      <c r="G45" s="67"/>
      <c r="H45" s="67"/>
      <c r="L45" s="64"/>
      <c r="M45" s="176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3957.98</v>
      </c>
      <c r="D46" s="95" t="s">
        <v>169</v>
      </c>
      <c r="E46" s="69"/>
      <c r="G46" s="68"/>
      <c r="H46" s="68"/>
      <c r="L46" s="64"/>
      <c r="M46" s="176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59932.39</v>
      </c>
      <c r="D47" s="95" t="s">
        <v>167</v>
      </c>
      <c r="E47" s="69"/>
      <c r="G47" s="68"/>
      <c r="H47" s="68"/>
      <c r="L47" s="64"/>
      <c r="M47" s="176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6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52245.31</v>
      </c>
      <c r="D49" s="81" t="s">
        <v>59</v>
      </c>
      <c r="E49" s="69"/>
      <c r="G49" s="68"/>
      <c r="H49" s="68"/>
      <c r="L49" s="64"/>
      <c r="M49" s="176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52245.31</v>
      </c>
      <c r="D50" s="81" t="s">
        <v>59</v>
      </c>
      <c r="E50" s="69"/>
      <c r="G50" s="68"/>
      <c r="H50" s="68"/>
      <c r="L50" s="64"/>
      <c r="M50" s="176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6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6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107860.77</v>
      </c>
      <c r="F53" s="95" t="s">
        <v>168</v>
      </c>
      <c r="G53" s="67"/>
      <c r="H53" s="67"/>
      <c r="L53" s="64"/>
      <c r="M53" s="176"/>
      <c r="N53" s="64"/>
      <c r="O53" s="64"/>
    </row>
    <row r="54" spans="1:15" ht="18.75" customHeight="1">
      <c r="A54" s="74" t="s">
        <v>131</v>
      </c>
      <c r="B54" s="76" t="s">
        <v>37</v>
      </c>
      <c r="C54" s="99">
        <v>6724.49</v>
      </c>
      <c r="D54" s="95" t="s">
        <v>169</v>
      </c>
      <c r="E54" s="70"/>
      <c r="F54" s="90"/>
      <c r="G54" s="65"/>
      <c r="H54" s="65"/>
      <c r="L54" s="64"/>
      <c r="M54" s="176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120999.45</v>
      </c>
      <c r="D55" s="95" t="s">
        <v>167</v>
      </c>
      <c r="E55" s="70"/>
      <c r="G55" s="65"/>
      <c r="H55" s="65"/>
      <c r="L55" s="64"/>
      <c r="M55" s="176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6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107860.77</v>
      </c>
      <c r="D57" s="81" t="s">
        <v>59</v>
      </c>
      <c r="E57" s="70"/>
      <c r="G57" s="65"/>
      <c r="H57" s="65"/>
      <c r="L57" s="64"/>
      <c r="M57" s="176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107860.77</v>
      </c>
      <c r="D58" s="81" t="s">
        <v>59</v>
      </c>
      <c r="E58" s="70"/>
      <c r="G58" s="65"/>
      <c r="H58" s="65"/>
      <c r="L58" s="64"/>
      <c r="M58" s="176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6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6"/>
      <c r="N60" s="64"/>
      <c r="O60" s="64"/>
    </row>
    <row r="61" spans="1:15" ht="15.75">
      <c r="A61" s="74" t="s">
        <v>138</v>
      </c>
      <c r="B61" s="78" t="s">
        <v>79</v>
      </c>
      <c r="C61" s="97" t="str">
        <f>IF(E61&gt;0,"Предоставляется",0)</f>
        <v>Предоставляется</v>
      </c>
      <c r="D61" s="97" t="s">
        <v>55</v>
      </c>
      <c r="E61" s="96">
        <v>122189.84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99">
        <v>227.18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133536.65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122189.84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122189.84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 t="str">
        <f>IF(E69&gt;0,"Предоставляется",0)</f>
        <v>Предоставляется</v>
      </c>
      <c r="D69" s="97" t="s">
        <v>55</v>
      </c>
      <c r="E69" s="96">
        <v>34924.800000000003</v>
      </c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99">
        <v>2645.82</v>
      </c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>
        <v>39900.17</v>
      </c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34924.800000000003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34924.800000000003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>
        <f>IF(E77&gt;0,"Предоставляется",0)</f>
        <v>0</v>
      </c>
      <c r="D77" s="97" t="s">
        <v>82</v>
      </c>
      <c r="E77" s="96">
        <v>0</v>
      </c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99">
        <v>0</v>
      </c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>
        <v>0</v>
      </c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6">
        <v>1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7">
        <v>23069.040000000001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2022-03-31T12:10:54Z</dcterms:modified>
</cp:coreProperties>
</file>