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C7" i="3" l="1"/>
  <c r="D3" i="2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3" i="1"/>
  <c r="G110" i="1"/>
  <c r="A110" i="1"/>
  <c r="J109" i="1"/>
  <c r="J104" i="1"/>
  <c r="J103" i="1"/>
  <c r="A109" i="1"/>
  <c r="G102" i="1"/>
  <c r="J101" i="1"/>
  <c r="J96" i="1"/>
  <c r="J95" i="1"/>
  <c r="A101" i="1"/>
  <c r="A100" i="1"/>
  <c r="A97" i="1"/>
  <c r="G94" i="1"/>
  <c r="F94" i="1"/>
  <c r="D94" i="1"/>
  <c r="K94" i="1"/>
  <c r="F110" i="1" l="1"/>
  <c r="A105" i="1"/>
  <c r="A119" i="1"/>
  <c r="A115" i="1"/>
  <c r="A123" i="1"/>
  <c r="A111" i="1"/>
  <c r="A117" i="1"/>
  <c r="A118" i="1"/>
  <c r="A120" i="1"/>
  <c r="F118" i="1"/>
  <c r="A121" i="1"/>
  <c r="A125" i="1"/>
  <c r="D118" i="1"/>
  <c r="A124" i="1"/>
  <c r="D110" i="1"/>
  <c r="A112" i="1"/>
  <c r="F102" i="1"/>
  <c r="A96" i="1"/>
  <c r="A141" i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<sst xmlns="http://schemas.openxmlformats.org/spreadsheetml/2006/main" count="570" uniqueCount="214">
  <si>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</si>
  <si>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</si>
  <si>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</si>
  <si>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</si>
  <si>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</si>
  <si>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</si>
  <si>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</si>
  <si>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</si>
  <si>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</si>
  <si>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</si>
  <si>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</si>
  <si>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</si>
  <si>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</si>
  <si>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</si>
  <si>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</si>
  <si>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</si>
  <si>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</si>
  <si>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</si>
  <si>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</si>
  <si>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</si>
  <si>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</si>
  <si>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</si>
  <si>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</si>
  <si>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</si>
  <si>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</si>
  <si>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</si>
  <si>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</si>
  <si>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</si>
  <si>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</si>
  <si>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</si>
  <si>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</si>
  <si>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</si>
  <si>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</si>
  <si>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</si>
  <si>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</si>
  <si>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</si>
  <si>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</si>
  <si>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</si>
  <si>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</si>
  <si>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</si>
  <si>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</si>
  <si>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</si>
  <si>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</si>
  <si>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</si>
  <si>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</si>
  <si>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</si>
  <si>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</si>
  <si>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</si>
  <si>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</si>
  <si>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</si>
  <si>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</si>
  <si>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</si>
  <si>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</si>
  <si>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</si>
  <si>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</si>
  <si>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</si>
  <si>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</si>
  <si>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</si>
  <si>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</si>
  <si>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</si>
  <si>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</si>
  <si>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</si>
  <si>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</si>
  <si>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</si>
  <si>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</si>
  <si>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</si>
  <si>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</si>
  <si>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</si>
  <si>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</si>
  <si>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</si>
  <si>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</si>
  <si>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</si>
  <si>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</si>
  <si>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</si>
  <si>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</si>
  <si>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</si>
  <si>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</si>
  <si>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</si>
  <si>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</si>
  <si>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</si>
  <si>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</si>
  <si>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</si>
  <si>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</si>
  <si>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</si>
  <si>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</si>
  <si>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</si>
  <si>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</si>
  <si>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</si>
  <si>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</si>
  <si>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</si>
  <si>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</si>
  <si>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</si>
  <si>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</si>
  <si>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</si>
  <si>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</si>
  <si>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</si>
  <si>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</si>
  <si>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</si>
  <si>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</si>
  <si>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</si>
  <si>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</si>
  <si>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</si>
  <si>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</si>
  <si>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</si>
  <si>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</si>
  <si>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</si>
  <si>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</si>
  <si>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</si>
  <si>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</si>
  <si>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</si>
  <si>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</si>
  <si>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</si>
  <si>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</si>
  <si>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</si>
  <si>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</si>
  <si>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</si>
  <si>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</si>
  <si>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</si>
  <si>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</si>
  <si>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</si>
  <si>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</si>
  <si>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</si>
  <si>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</si>
  <si>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</si>
  <si>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</si>
  <si>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</si>
  <si>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</si>
  <si>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</si>
  <si>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</si>
  <si>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</si>
  <si>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</si>
  <si>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</si>
  <si>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</si>
  <si>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</si>
  <si>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</si>
  <si>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</si>
  <si>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</si>
  <si>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</si>
  <si>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</si>
  <si>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</si>
  <si>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</si>
  <si>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</si>
  <si>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</si>
  <si>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</si>
  <si>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</si>
  <si>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</si>
  <si>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</si>
  <si>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</si>
  <si>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</si>
  <si>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</si>
  <si>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</si>
  <si>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</si>
  <si>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</si>
  <si>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</si>
  <si>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</si>
  <si>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</si>
  <si>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</si>
  <si>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</si>
  <si>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</si>
  <si>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</si>
  <si>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</si>
  <si>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</si>
  <si>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</si>
  <si>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</si>
  <si>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</si>
  <si>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</si>
  <si>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</si>
  <si>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</si>
  <si>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</si>
  <si>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</si>
  <si>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</si>
  <si>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</si>
  <si>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</si>
  <si>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</si>
  <si>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</si>
  <si>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</si>
  <si>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</si>
  <si>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</si>
  <si>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244/6</t>
  </si>
  <si>
    <t>Техническое обслуживание видеонаблюдения.</t>
  </si>
  <si>
    <t>ежегодно</t>
  </si>
  <si>
    <t>ежемесячно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</si>
  <si>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</si>
  <si>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</si>
  <si>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Байкальская, 244/6 в части текущего ремонта</t>
  </si>
  <si>
    <t>Начало отчетного периода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</si>
  <si>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</si>
  <si>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</si>
  <si>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</si>
  <si>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</si>
  <si>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</si>
  <si>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Механизированная уборка и вывоз снега с придомовой территории.</t>
  </si>
  <si>
    <t>разово</t>
  </si>
  <si>
    <t>АВР 1/21 от 19.03.2021</t>
  </si>
  <si>
    <t>Замена общедомового прибора учета ХВС.</t>
  </si>
  <si>
    <t>Установка комплекта аварийного освещения кабины лифта.</t>
  </si>
  <si>
    <t>АВР 5/21 от 20.08.2021</t>
  </si>
  <si>
    <t>АВР 2/21 от 20.08.2021, Решение</t>
  </si>
  <si>
    <t>Ремонт уличной лестницы (вдоль дома).</t>
  </si>
  <si>
    <t>Ремонт видеорегистратора системы видеонаблюдения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</si>
  <si>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</si>
  <si>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</si>
  <si>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</si>
  <si>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</si>
  <si>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</si>
  <si>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</si>
  <si>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</si>
  <si>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</si>
  <si>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Замена светильников на акустические (4,5 и 10 этажи).</t>
  </si>
  <si>
    <t>АВР 3/21 от 20.08.2021</t>
  </si>
  <si>
    <t>АВР 4/21 от 20.08.2021, счет №112 от 19.05.2021</t>
  </si>
  <si>
    <t>АВР 6/21 от 20.08.2021, счет №53 от 22.07.2021</t>
  </si>
  <si>
    <t>АВР 7/21 от 31.12.2021</t>
  </si>
  <si>
    <t>АВР 8/21 от 31.12.2021, Решение, счет №1925 от 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</si>
</sst>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194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25" fillId="0" borderId="0" xfId="5" applyFont="1" applyFill="1" applyBorder="1" applyAlignment="1">
      <alignment horizontal="center"/>
    </xf>
    <xf numFmtId="4" fontId="25" fillId="0" borderId="0" xfId="5" applyNumberFormat="1" applyFont="1" applyFill="1" applyBorder="1" applyAlignment="1"/>
    <xf numFmtId="0" fontId="11" fillId="0" borderId="0" xfId="5" applyFill="1" applyBorder="1" applyAlignment="1">
      <alignment horizontal="center"/>
    </xf>
    <xf numFmtId="0" fontId="25" fillId="0" borderId="0" xfId="5" applyFont="1" applyFill="1" applyBorder="1" applyAlignment="1"/>
    <xf numFmtId="4" fontId="11" fillId="0" borderId="0" xfId="5" applyNumberForma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5" applyFont="1" applyFill="1" applyBorder="1"/>
    <xf numFmtId="0" fontId="9" fillId="0" borderId="0" xfId="2" applyFont="1" applyFill="1" applyBorder="1" applyAlignment="1"/>
    <xf numFmtId="0" fontId="11" fillId="6" borderId="0" xfId="5" applyFill="1" applyBorder="1" applyAlignment="1"/>
    <xf numFmtId="0" fontId="11" fillId="6" borderId="0" xfId="5" applyFill="1" applyBorder="1" applyAlignment="1">
      <alignment horizontal="center"/>
    </xf>
    <xf numFmtId="4" fontId="25" fillId="6" borderId="0" xfId="5" applyNumberFormat="1" applyFont="1" applyFill="1" applyBorder="1" applyAlignment="1"/>
    <xf numFmtId="0" fontId="25" fillId="6" borderId="0" xfId="5" applyFont="1" applyFill="1" applyBorder="1" applyAlignment="1"/>
    <xf numFmtId="0" fontId="25" fillId="6" borderId="0" xfId="5" applyFont="1" applyFill="1" applyBorder="1" applyAlignment="1">
      <alignment horizontal="center"/>
    </xf>
    <xf numFmtId="4" fontId="11" fillId="6" borderId="0" xfId="5" applyNumberFormat="1" applyFill="1" applyBorder="1" applyAlignment="1"/>
    <xf numFmtId="0" fontId="10" fillId="0" borderId="0" xfId="6" applyFont="1" applyFill="1" applyBorder="1" applyAlignment="1"/>
    <xf numFmtId="0" fontId="10" fillId="0" borderId="0" xfId="7" applyFont="1" applyFill="1" applyBorder="1" applyAlignment="1">
      <alignment horizontal="center"/>
    </xf>
    <xf numFmtId="0" fontId="10" fillId="0" borderId="0" xfId="7" applyFill="1" applyBorder="1" applyAlignment="1">
      <alignment horizontal="center"/>
    </xf>
    <xf numFmtId="4" fontId="10" fillId="0" borderId="0" xfId="6" applyNumberFormat="1" applyFill="1" applyBorder="1" applyAlignment="1"/>
    <xf numFmtId="0" fontId="10" fillId="0" borderId="0" xfId="6" applyFont="1" applyFill="1" applyBorder="1"/>
    <xf numFmtId="0" fontId="25" fillId="0" borderId="0" xfId="12" applyFont="1" applyFill="1" applyBorder="1" applyAlignment="1"/>
    <xf numFmtId="0" fontId="8" fillId="0" borderId="0" xfId="12" applyFill="1" applyBorder="1" applyAlignment="1">
      <alignment horizontal="center"/>
    </xf>
    <xf numFmtId="4" fontId="25" fillId="0" borderId="0" xfId="12" applyNumberFormat="1" applyFont="1" applyFill="1" applyBorder="1" applyAlignment="1"/>
    <xf numFmtId="0" fontId="8" fillId="0" borderId="0" xfId="12" applyFont="1" applyFill="1" applyBorder="1" applyAlignment="1">
      <alignment horizontal="center"/>
    </xf>
    <xf numFmtId="0" fontId="7" fillId="6" borderId="0" xfId="9" applyFont="1" applyFill="1" applyBorder="1" applyAlignment="1"/>
    <xf numFmtId="0" fontId="7" fillId="6" borderId="0" xfId="4" applyFont="1" applyFill="1" applyBorder="1" applyAlignment="1">
      <alignment horizontal="center"/>
    </xf>
    <xf numFmtId="0" fontId="12" fillId="6" borderId="0" xfId="4" applyFill="1" applyBorder="1" applyAlignment="1">
      <alignment horizontal="center"/>
    </xf>
    <xf numFmtId="4" fontId="12" fillId="6" borderId="0" xfId="4" applyNumberFormat="1" applyFill="1" applyBorder="1" applyAlignment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7" fillId="0" borderId="0" xfId="4" applyFont="1" applyFill="1" applyBorder="1" applyAlignment="1">
      <alignment horizontal="center"/>
    </xf>
    <xf numFmtId="0" fontId="12" fillId="0" borderId="0" xfId="4" applyFill="1" applyBorder="1" applyAlignment="1">
      <alignment horizontal="center"/>
    </xf>
    <xf numFmtId="0" fontId="5" fillId="0" borderId="0" xfId="4" applyFont="1" applyFill="1" applyBorder="1" applyAlignment="1"/>
    <xf numFmtId="0" fontId="4" fillId="6" borderId="0" xfId="2" applyFont="1" applyFill="1" applyBorder="1" applyAlignment="1"/>
    <xf numFmtId="0" fontId="4" fillId="6" borderId="0" xfId="5" applyFont="1" applyFill="1" applyBorder="1" applyAlignment="1">
      <alignment horizontal="center"/>
    </xf>
    <xf numFmtId="0" fontId="25" fillId="6" borderId="0" xfId="5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27" fillId="3" borderId="0" xfId="13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4" fontId="35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9" applyFont="1" applyFill="1" applyBorder="1" applyAlignment="1"/>
    <xf numFmtId="0" fontId="1" fillId="6" borderId="0" xfId="5" applyFont="1" applyFill="1" applyBorder="1"/>
    <xf numFmtId="0" fontId="1" fillId="6" borderId="0" xfId="4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8"/>
    <cellStyle name="Обычный 2 5" xfId="13"/>
    <cellStyle name="Обычный 3" xfId="2"/>
    <cellStyle name="Обычный 3 2" xfId="9"/>
    <cellStyle name="Обычный 4" xfId="4"/>
    <cellStyle name="Обычный 4 2" xfId="12"/>
    <cellStyle name="Обычный 4 2 2" xfId="7"/>
    <cellStyle name="Обычный 4 3" xfId="10"/>
    <cellStyle name="Обычный 5" xfId="5"/>
    <cellStyle name="Обычный 5 2" xfId="11"/>
    <cellStyle name="Обычный 5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75" sqref="L75:L7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80" t="s">
        <v>178</v>
      </c>
      <c r="B2" s="180"/>
      <c r="C2" s="180"/>
      <c r="D2" s="180"/>
      <c r="E2" s="180"/>
      <c r="F2" s="180"/>
      <c r="G2" s="180"/>
      <c r="H2" s="180"/>
      <c r="I2" s="180"/>
      <c r="J2" s="180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185</v>
      </c>
      <c r="E4" s="116">
        <v>44197</v>
      </c>
      <c r="K4" s="108"/>
      <c r="L4" s="108"/>
      <c r="M4" s="108"/>
      <c r="N4" s="108"/>
    </row>
    <row r="5" spans="1:18">
      <c r="A5" s="1" t="s">
        <v>0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74" t="s">
        <v>1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08"/>
      <c r="L8" s="181"/>
      <c r="M8" s="108"/>
      <c r="N8" s="108"/>
      <c r="O8" s="69" t="s">
        <v>83</v>
      </c>
      <c r="R8" s="16"/>
    </row>
    <row r="9" spans="1:18" ht="18.75" customHeight="1" outlineLevel="1">
      <c r="A9" s="174" t="s">
        <v>2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8"/>
      <c r="L9" s="181"/>
      <c r="M9" s="108"/>
      <c r="N9" s="108"/>
      <c r="O9" s="69" t="s">
        <v>84</v>
      </c>
    </row>
    <row r="10" spans="1:18" ht="18.75" customHeight="1" outlineLevel="1">
      <c r="A10" s="174" t="s">
        <v>3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113438.7</v>
      </c>
      <c r="K10" s="108"/>
      <c r="L10" s="181"/>
      <c r="M10" s="108"/>
      <c r="N10" s="108"/>
      <c r="O10" s="69" t="s">
        <v>85</v>
      </c>
    </row>
    <row r="11" spans="1:18" outlineLevel="1">
      <c r="A11" s="174" t="s">
        <v>4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664204.13</v>
      </c>
      <c r="K11" s="108"/>
      <c r="L11" s="181"/>
      <c r="M11" s="108"/>
      <c r="N11" s="108"/>
      <c r="O11" s="69" t="s">
        <v>86</v>
      </c>
    </row>
    <row r="12" spans="1:18" ht="18.75" customHeight="1" outlineLevel="1">
      <c r="A12" s="174" t="s">
        <v>5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503262.17</v>
      </c>
      <c r="K12" s="108"/>
      <c r="L12" s="181"/>
      <c r="M12" s="108"/>
      <c r="N12" s="108"/>
      <c r="O12" s="69" t="s">
        <v>87</v>
      </c>
    </row>
    <row r="13" spans="1:18" ht="18.75" customHeight="1" outlineLevel="1">
      <c r="A13" s="174" t="s">
        <v>6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160941.96</v>
      </c>
      <c r="K13" s="108"/>
      <c r="L13" s="181"/>
      <c r="M13" s="108"/>
      <c r="N13" s="108"/>
      <c r="O13" s="69" t="s">
        <v>88</v>
      </c>
    </row>
    <row r="14" spans="1:18" ht="18.75" customHeight="1" outlineLevel="1">
      <c r="A14" s="174" t="s">
        <v>7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0</v>
      </c>
      <c r="K14" s="108"/>
      <c r="L14" s="181"/>
      <c r="M14" s="108"/>
      <c r="N14" s="108"/>
      <c r="O14" s="69" t="s">
        <v>89</v>
      </c>
    </row>
    <row r="15" spans="1:18" ht="18.75" customHeight="1" outlineLevel="1">
      <c r="A15" s="174" t="s">
        <v>8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761208.84</v>
      </c>
      <c r="K15" s="108"/>
      <c r="L15" s="181"/>
      <c r="M15" s="108"/>
      <c r="N15" s="108"/>
      <c r="O15" s="69" t="s">
        <v>90</v>
      </c>
    </row>
    <row r="16" spans="1:18" ht="18.75" customHeight="1" outlineLevel="1">
      <c r="A16" s="174" t="s">
        <v>9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761208.84</v>
      </c>
      <c r="K16" s="108"/>
      <c r="L16" s="181"/>
      <c r="M16" s="108"/>
      <c r="N16" s="108"/>
      <c r="O16" s="69" t="s">
        <v>91</v>
      </c>
    </row>
    <row r="17" spans="1:23" ht="18.75" customHeight="1" outlineLevel="1">
      <c r="A17" s="174" t="s">
        <v>10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8"/>
      <c r="L17" s="181"/>
      <c r="M17" s="108"/>
      <c r="N17" s="108"/>
      <c r="O17" s="69" t="s">
        <v>92</v>
      </c>
    </row>
    <row r="18" spans="1:23" ht="18.75" customHeight="1" outlineLevel="1">
      <c r="A18" s="174" t="s">
        <v>11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8"/>
      <c r="L18" s="181"/>
      <c r="M18" s="108"/>
      <c r="N18" s="108"/>
      <c r="O18" s="69" t="s">
        <v>93</v>
      </c>
    </row>
    <row r="19" spans="1:23" ht="18.75" customHeight="1" outlineLevel="1">
      <c r="A19" s="174" t="s">
        <v>12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8"/>
      <c r="L19" s="181"/>
      <c r="M19" s="108"/>
      <c r="N19" s="108"/>
      <c r="O19" s="69" t="s">
        <v>94</v>
      </c>
    </row>
    <row r="20" spans="1:23" ht="18.75" customHeight="1" outlineLevel="1">
      <c r="A20" s="174" t="s">
        <v>13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8"/>
      <c r="L20" s="181"/>
      <c r="M20" s="108"/>
      <c r="N20" s="108"/>
      <c r="O20" s="69" t="s">
        <v>95</v>
      </c>
    </row>
    <row r="21" spans="1:23" ht="18.75" customHeight="1" outlineLevel="1">
      <c r="A21" s="174" t="s">
        <v>14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761208.84</v>
      </c>
      <c r="K21" s="108"/>
      <c r="L21" s="181"/>
      <c r="M21" s="108"/>
      <c r="N21" s="108"/>
      <c r="O21" s="69" t="s">
        <v>96</v>
      </c>
    </row>
    <row r="22" spans="1:23" ht="18.75" customHeight="1" outlineLevel="1">
      <c r="A22" s="174" t="s">
        <v>15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08"/>
      <c r="L22" s="181"/>
      <c r="M22" s="108"/>
      <c r="N22" s="108"/>
      <c r="O22" s="69" t="s">
        <v>97</v>
      </c>
    </row>
    <row r="23" spans="1:23" ht="18.75" customHeight="1" outlineLevel="1">
      <c r="A23" s="174" t="s">
        <v>16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8"/>
      <c r="L23" s="181"/>
      <c r="M23" s="108"/>
      <c r="N23" s="108"/>
      <c r="O23" s="69" t="s">
        <v>98</v>
      </c>
    </row>
    <row r="24" spans="1:23" ht="18.75" customHeight="1" outlineLevel="1">
      <c r="A24" s="174" t="s">
        <v>17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16433.989999999991</v>
      </c>
      <c r="K24" s="108"/>
      <c r="L24" s="181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73" t="s">
        <v>18</v>
      </c>
      <c r="B27" s="173"/>
      <c r="C27" s="173"/>
      <c r="D27" s="173"/>
      <c r="E27" s="173"/>
      <c r="F27" s="173" t="s">
        <v>19</v>
      </c>
      <c r="G27" s="173"/>
      <c r="H27" s="5" t="s">
        <v>56</v>
      </c>
      <c r="I27" s="173" t="s">
        <v>20</v>
      </c>
      <c r="J27" s="173"/>
      <c r="K27" s="108"/>
      <c r="L27" s="182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108313.32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8"/>
      <c r="L28" s="182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5" t="str">
        <f>ПТО!A40</f>
        <v>Работы по содержанию лифта (лифтов)</v>
      </c>
      <c r="B29" s="165"/>
      <c r="C29" s="165"/>
      <c r="D29" s="165"/>
      <c r="E29" s="165"/>
      <c r="F29" s="170">
        <f>VLOOKUP(A29,ПТО!$A$39:$D$53,2,FALSE)</f>
        <v>60098.64</v>
      </c>
      <c r="G29" s="170"/>
      <c r="H29" s="42" t="str">
        <f>VLOOKUP(A29,ПТО!$A$39:$D$53,3,FALSE)</f>
        <v>Ежемесячно</v>
      </c>
      <c r="I29" s="166">
        <f>VLOOKUP(A29,ПТО!$A$39:$D$53,4,FALSE)</f>
        <v>12</v>
      </c>
      <c r="J29" s="166"/>
      <c r="K29" s="108"/>
      <c r="L29" s="182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109671.48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8"/>
      <c r="L30" s="182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40744.800000000003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8"/>
      <c r="L31" s="182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8"/>
      <c r="L32" s="182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13242.12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8"/>
      <c r="L33" s="182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46856.52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8"/>
      <c r="L34" s="182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5"/>
      <c r="C35" s="165"/>
      <c r="D35" s="165"/>
      <c r="E35" s="165"/>
      <c r="F35" s="170">
        <f>VLOOKUP(A35,ПТО!$A$39:$D$53,2,FALSE)</f>
        <v>135476.51999999999</v>
      </c>
      <c r="G35" s="170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8"/>
      <c r="L35" s="182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customHeight="1" outlineLevel="1">
      <c r="A36" s="165" t="str">
        <f>ПТО!A47</f>
        <v>Коммунальные ресурсы на содержание общего имущества</v>
      </c>
      <c r="B36" s="165"/>
      <c r="C36" s="165"/>
      <c r="D36" s="165"/>
      <c r="E36" s="165"/>
      <c r="F36" s="170">
        <f>VLOOKUP(A36,ПТО!$A$39:$D$53,2,FALSE)</f>
        <v>49243.576050000003</v>
      </c>
      <c r="G36" s="170"/>
      <c r="H36" s="42" t="str">
        <f>VLOOKUP(A36,ПТО!$A$39:$D$53,3,FALSE)</f>
        <v>Ежемесячно</v>
      </c>
      <c r="I36" s="166">
        <f>VLOOKUP(A36,ПТО!$A$39:$D$53,4,FALSE)</f>
        <v>12</v>
      </c>
      <c r="J36" s="166"/>
      <c r="K36" s="108"/>
      <c r="L36" s="182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8"/>
      <c r="L37" s="182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8"/>
      <c r="L38" s="182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8"/>
      <c r="L39" s="182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8"/>
      <c r="L40" s="182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8"/>
      <c r="L41" s="182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8"/>
      <c r="L42" s="182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65" t="str">
        <f>ПТО!A2</f>
        <v>Техническое освидетельствование лифта.</v>
      </c>
      <c r="B43" s="165"/>
      <c r="C43" s="165"/>
      <c r="D43" s="165"/>
      <c r="E43" s="165"/>
      <c r="F43" s="170">
        <f>VLOOKUP(A43,ПТО!$A$2:$D$31,4,FALSE)</f>
        <v>8100</v>
      </c>
      <c r="G43" s="170"/>
      <c r="H43" s="19" t="str">
        <f>VLOOKUP(A43,ПТО!$A$2:$D$31,2,FALSE)</f>
        <v>ежегодно</v>
      </c>
      <c r="I43" s="166">
        <f>VLOOKUP(A43,ПТО!$A$2:$D$31,3,FALSE)</f>
        <v>1</v>
      </c>
      <c r="J43" s="166"/>
      <c r="K43" s="108"/>
      <c r="L43" s="182"/>
      <c r="M43" s="115"/>
      <c r="N43" s="108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65" t="str">
        <f>ПТО!A3</f>
        <v>Техническое обслуживание видеонаблюдения.</v>
      </c>
      <c r="B44" s="165"/>
      <c r="C44" s="165"/>
      <c r="D44" s="165"/>
      <c r="E44" s="165"/>
      <c r="F44" s="170">
        <f>VLOOKUP(A44,ПТО!$A$2:$D$31,4,FALSE)</f>
        <v>33600</v>
      </c>
      <c r="G44" s="170"/>
      <c r="H44" s="25" t="str">
        <f>VLOOKUP(A44,ПТО!$A$2:$D$31,2,FALSE)</f>
        <v>ежемесячно</v>
      </c>
      <c r="I44" s="166">
        <f>VLOOKUP(A44,ПТО!$A$2:$D$31,3,FALSE)</f>
        <v>12</v>
      </c>
      <c r="J44" s="166"/>
      <c r="K44" s="108"/>
      <c r="L44" s="182"/>
      <c r="M44" s="115"/>
      <c r="N44" s="108"/>
      <c r="O44" s="23" t="str">
        <f t="shared" si="1"/>
        <v>Техническое обслуживание видеонаблюдения.</v>
      </c>
      <c r="R44" s="22" t="s">
        <v>71</v>
      </c>
    </row>
    <row r="45" spans="1:18" ht="51" customHeight="1" outlineLevel="1">
      <c r="A45" s="165" t="str">
        <f>ПТО!A4</f>
        <v>Механизированная уборка и вывоз снега с придомовой территории.</v>
      </c>
      <c r="B45" s="165"/>
      <c r="C45" s="165"/>
      <c r="D45" s="165"/>
      <c r="E45" s="165"/>
      <c r="F45" s="170">
        <f>VLOOKUP(A45,ПТО!$A$2:$D$31,4,FALSE)</f>
        <v>14271.44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8"/>
      <c r="L45" s="182"/>
      <c r="M45" s="115"/>
      <c r="N45" s="108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65" t="str">
        <f>ПТО!A5</f>
        <v>Замена светильников на акустические (4,5 и 10 этажи).</v>
      </c>
      <c r="B46" s="165"/>
      <c r="C46" s="165"/>
      <c r="D46" s="165"/>
      <c r="E46" s="165"/>
      <c r="F46" s="170">
        <f>VLOOKUP(A46,ПТО!$A$2:$D$31,4,FALSE)</f>
        <v>3600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8"/>
      <c r="L46" s="182"/>
      <c r="M46" s="115"/>
      <c r="N46" s="108"/>
      <c r="O46" s="23" t="str">
        <f t="shared" si="1"/>
        <v>Замена светильников на акустические (4,5 и 10 этажи).</v>
      </c>
      <c r="R46" s="22" t="s">
        <v>71</v>
      </c>
    </row>
    <row r="47" spans="1:18" ht="51" customHeight="1" outlineLevel="1">
      <c r="A47" s="165" t="str">
        <f>ПТО!A6</f>
        <v>Замена общедомового прибора учета ХВС.</v>
      </c>
      <c r="B47" s="165"/>
      <c r="C47" s="165"/>
      <c r="D47" s="165"/>
      <c r="E47" s="165"/>
      <c r="F47" s="170">
        <f>VLOOKUP(A47,ПТО!$A$2:$D$31,4,FALSE)</f>
        <v>3929.56</v>
      </c>
      <c r="G47" s="170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8"/>
      <c r="L47" s="182"/>
      <c r="M47" s="115"/>
      <c r="N47" s="108"/>
      <c r="O47" s="23" t="str">
        <f t="shared" si="1"/>
        <v>Замена общедомового прибора учета ХВС.</v>
      </c>
      <c r="R47" s="22" t="s">
        <v>71</v>
      </c>
    </row>
    <row r="48" spans="1:18" ht="51" customHeight="1" outlineLevel="1">
      <c r="A48" s="165" t="str">
        <f>ПТО!A7</f>
        <v>Установка комплекта аварийного освещения кабины лифта.</v>
      </c>
      <c r="B48" s="165"/>
      <c r="C48" s="165"/>
      <c r="D48" s="165"/>
      <c r="E48" s="165"/>
      <c r="F48" s="170">
        <f>VLOOKUP(A48,ПТО!$A$2:$D$31,4,FALSE)</f>
        <v>1379</v>
      </c>
      <c r="G48" s="170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8"/>
      <c r="L48" s="182"/>
      <c r="M48" s="115"/>
      <c r="N48" s="108"/>
      <c r="O48" s="23" t="str">
        <f t="shared" si="1"/>
        <v>Установка комплекта аварийного освещения кабины лифта.</v>
      </c>
      <c r="R48" s="22" t="s">
        <v>71</v>
      </c>
    </row>
    <row r="49" spans="1:18" ht="51" customHeight="1" outlineLevel="1">
      <c r="A49" s="165" t="str">
        <f>ПТО!A8</f>
        <v>Ремонт видеорегистратора системы видеонаблюдения</v>
      </c>
      <c r="B49" s="165"/>
      <c r="C49" s="165"/>
      <c r="D49" s="165"/>
      <c r="E49" s="165"/>
      <c r="F49" s="170">
        <f>VLOOKUP(A49,ПТО!$A$2:$D$31,4,FALSE)</f>
        <v>3500</v>
      </c>
      <c r="G49" s="170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8"/>
      <c r="L49" s="182"/>
      <c r="M49" s="115"/>
      <c r="N49" s="108"/>
      <c r="O49" s="23" t="str">
        <f t="shared" si="1"/>
        <v>Ремонт видеорегистратора системы видеонаблюдения</v>
      </c>
      <c r="R49" s="22" t="s">
        <v>71</v>
      </c>
    </row>
    <row r="50" spans="1:18" ht="51" customHeight="1" outlineLevel="1">
      <c r="A50" s="165" t="str">
        <f>ПТО!A9</f>
        <v>Ремонт уличной лестницы (вдоль дома).</v>
      </c>
      <c r="B50" s="165"/>
      <c r="C50" s="165"/>
      <c r="D50" s="165"/>
      <c r="E50" s="165"/>
      <c r="F50" s="170">
        <f>VLOOKUP(A50,ПТО!$A$2:$D$31,4,FALSE)</f>
        <v>2485</v>
      </c>
      <c r="G50" s="170"/>
      <c r="H50" s="25" t="str">
        <f>VLOOKUP(A50,ПТО!$A$2:$D$31,2,FALSE)</f>
        <v>разово</v>
      </c>
      <c r="I50" s="166">
        <f>VLOOKUP(A50,ПТО!$A$2:$D$31,3,FALSE)</f>
        <v>1</v>
      </c>
      <c r="J50" s="166"/>
      <c r="K50" s="108"/>
      <c r="L50" s="182"/>
      <c r="M50" s="115"/>
      <c r="N50" s="108"/>
      <c r="O50" s="23" t="str">
        <f t="shared" si="1"/>
        <v>Ремонт уличной лестницы (вдоль дома).</v>
      </c>
      <c r="R50" s="22" t="s">
        <v>71</v>
      </c>
    </row>
    <row r="51" spans="1:18" ht="51" hidden="1" customHeight="1" outlineLevel="1">
      <c r="A51" s="165">
        <f>ПТО!A10</f>
        <v>0</v>
      </c>
      <c r="B51" s="165"/>
      <c r="C51" s="165"/>
      <c r="D51" s="165"/>
      <c r="E51" s="165"/>
      <c r="F51" s="170" t="e">
        <f>VLOOKUP(A51,ПТО!$A$2:$D$31,4,FALSE)</f>
        <v>#N/A</v>
      </c>
      <c r="G51" s="170"/>
      <c r="H51" s="25" t="e">
        <f>VLOOKUP(A51,ПТО!$A$2:$D$31,2,FALSE)</f>
        <v>#N/A</v>
      </c>
      <c r="I51" s="166" t="e">
        <f>VLOOKUP(A51,ПТО!$A$2:$D$31,3,FALSE)</f>
        <v>#N/A</v>
      </c>
      <c r="J51" s="166"/>
      <c r="K51" s="108"/>
      <c r="L51" s="182"/>
      <c r="M51" s="115"/>
      <c r="N51" s="108"/>
      <c r="O51" s="23">
        <f t="shared" si="1"/>
        <v>0</v>
      </c>
      <c r="R51" s="22" t="s">
        <v>71</v>
      </c>
    </row>
    <row r="52" spans="1:18" ht="51" hidden="1" customHeight="1" outlineLevel="1">
      <c r="A52" s="165">
        <f>ПТО!A11</f>
        <v>0</v>
      </c>
      <c r="B52" s="165"/>
      <c r="C52" s="165"/>
      <c r="D52" s="165"/>
      <c r="E52" s="165"/>
      <c r="F52" s="170" t="e">
        <f>VLOOKUP(A52,ПТО!$A$2:$D$31,4,FALSE)</f>
        <v>#N/A</v>
      </c>
      <c r="G52" s="170"/>
      <c r="H52" s="25" t="e">
        <f>VLOOKUP(A52,ПТО!$A$2:$D$31,2,FALSE)</f>
        <v>#N/A</v>
      </c>
      <c r="I52" s="166" t="e">
        <f>VLOOKUP(A52,ПТО!$A$2:$D$31,3,FALSE)</f>
        <v>#N/A</v>
      </c>
      <c r="J52" s="166"/>
      <c r="K52" s="108"/>
      <c r="L52" s="182"/>
      <c r="M52" s="115"/>
      <c r="N52" s="108"/>
      <c r="O52" s="23">
        <f t="shared" si="1"/>
        <v>0</v>
      </c>
      <c r="R52" s="22" t="s">
        <v>71</v>
      </c>
    </row>
    <row r="53" spans="1:18" ht="51" hidden="1" customHeight="1" outlineLevel="1">
      <c r="A53" s="165">
        <f>ПТО!A12</f>
        <v>0</v>
      </c>
      <c r="B53" s="165"/>
      <c r="C53" s="165"/>
      <c r="D53" s="165"/>
      <c r="E53" s="165"/>
      <c r="F53" s="170" t="e">
        <f>VLOOKUP(A53,ПТО!$A$2:$D$31,4,FALSE)</f>
        <v>#N/A</v>
      </c>
      <c r="G53" s="170"/>
      <c r="H53" s="25" t="e">
        <f>VLOOKUP(A53,ПТО!$A$2:$D$31,2,FALSE)</f>
        <v>#N/A</v>
      </c>
      <c r="I53" s="166" t="e">
        <f>VLOOKUP(A53,ПТО!$A$2:$D$31,3,FALSE)</f>
        <v>#N/A</v>
      </c>
      <c r="J53" s="166"/>
      <c r="K53" s="108"/>
      <c r="L53" s="182"/>
      <c r="M53" s="115"/>
      <c r="N53" s="108"/>
      <c r="O53" s="23">
        <f t="shared" si="1"/>
        <v>0</v>
      </c>
      <c r="R53" s="22" t="s">
        <v>71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70" t="e">
        <f>VLOOKUP(A54,ПТО!$A$2:$D$31,4,FALSE)</f>
        <v>#N/A</v>
      </c>
      <c r="G54" s="170"/>
      <c r="H54" s="25" t="e">
        <f>VLOOKUP(A54,ПТО!$A$2:$D$31,2,FALSE)</f>
        <v>#N/A</v>
      </c>
      <c r="I54" s="166" t="e">
        <f>VLOOKUP(A54,ПТО!$A$2:$D$31,3,FALSE)</f>
        <v>#N/A</v>
      </c>
      <c r="J54" s="166"/>
      <c r="K54" s="108"/>
      <c r="L54" s="182"/>
      <c r="M54" s="115"/>
      <c r="N54" s="108"/>
      <c r="O54" s="23">
        <f t="shared" si="1"/>
        <v>0</v>
      </c>
      <c r="R54" s="22" t="s">
        <v>71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8"/>
      <c r="L55" s="182"/>
      <c r="M55" s="115"/>
      <c r="N55" s="108"/>
      <c r="O55" s="23">
        <f t="shared" si="1"/>
        <v>0</v>
      </c>
      <c r="R55" s="22" t="s">
        <v>71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8"/>
      <c r="L56" s="182"/>
      <c r="M56" s="115"/>
      <c r="N56" s="108"/>
      <c r="O56" s="23">
        <f t="shared" si="1"/>
        <v>0</v>
      </c>
      <c r="R56" s="22" t="s">
        <v>71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8"/>
      <c r="L57" s="182"/>
      <c r="M57" s="115"/>
      <c r="N57" s="108"/>
      <c r="O57" s="23">
        <f t="shared" si="1"/>
        <v>0</v>
      </c>
      <c r="R57" s="22" t="s">
        <v>71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8"/>
      <c r="L58" s="182"/>
      <c r="M58" s="115"/>
      <c r="N58" s="108"/>
      <c r="O58" s="23">
        <f t="shared" si="1"/>
        <v>0</v>
      </c>
      <c r="R58" s="22" t="s">
        <v>71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8"/>
      <c r="L59" s="182"/>
      <c r="M59" s="115"/>
      <c r="N59" s="108"/>
      <c r="O59" s="23">
        <f t="shared" si="1"/>
        <v>0</v>
      </c>
      <c r="R59" s="22" t="s">
        <v>71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8"/>
      <c r="L60" s="182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8"/>
      <c r="L61" s="182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8"/>
      <c r="L62" s="182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8"/>
      <c r="L63" s="182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8"/>
      <c r="L64" s="182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8"/>
      <c r="L65" s="182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8"/>
      <c r="L66" s="182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8"/>
      <c r="L67" s="182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8"/>
      <c r="L68" s="182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8"/>
      <c r="L69" s="182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8"/>
      <c r="L70" s="182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8"/>
      <c r="L72" s="182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83" t="s">
        <v>26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8"/>
      <c r="L75" s="185"/>
      <c r="M75" s="108"/>
      <c r="N75" s="108"/>
      <c r="O75" s="69" t="s">
        <v>100</v>
      </c>
    </row>
    <row r="76" spans="1:16384" ht="18.75" customHeight="1" outlineLevel="1">
      <c r="A76" s="183" t="s">
        <v>27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8"/>
      <c r="L76" s="185"/>
      <c r="M76" s="108"/>
      <c r="N76" s="108"/>
      <c r="O76" s="69" t="s">
        <v>101</v>
      </c>
    </row>
    <row r="77" spans="1:16384" ht="21.75" customHeight="1" outlineLevel="1">
      <c r="A77" s="183" t="s">
        <v>28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8"/>
      <c r="L77" s="185"/>
      <c r="M77" s="108"/>
      <c r="N77" s="108"/>
      <c r="O77" s="69" t="s">
        <v>102</v>
      </c>
    </row>
    <row r="78" spans="1:16384" ht="18.75" customHeight="1" outlineLevel="1">
      <c r="A78" s="183" t="s">
        <v>29</v>
      </c>
      <c r="B78" s="183"/>
      <c r="C78" s="183"/>
      <c r="D78" s="183"/>
      <c r="E78" s="183"/>
      <c r="F78" s="183"/>
      <c r="G78" s="183"/>
      <c r="H78" s="183"/>
      <c r="I78" s="183"/>
      <c r="J78" s="96">
        <f>VLOOKUP(O78,АО,3,FALSE)</f>
        <v>0</v>
      </c>
      <c r="K78" s="108"/>
      <c r="L78" s="185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63" t="s">
        <v>1</v>
      </c>
      <c r="B81" s="163"/>
      <c r="C81" s="163"/>
      <c r="D81" s="163"/>
      <c r="E81" s="163"/>
      <c r="F81" s="163"/>
      <c r="G81" s="163"/>
      <c r="H81" s="163"/>
      <c r="I81" s="163"/>
      <c r="J81" s="96">
        <f t="shared" ref="J81:J90" si="2">VLOOKUP(O81,АО,3,FALSE)</f>
        <v>0</v>
      </c>
      <c r="K81" s="108"/>
      <c r="L81" s="171"/>
      <c r="M81" s="108"/>
      <c r="N81" s="108"/>
      <c r="O81" s="69" t="s">
        <v>104</v>
      </c>
    </row>
    <row r="82" spans="1:15" outlineLevel="1">
      <c r="A82" s="163" t="s">
        <v>2</v>
      </c>
      <c r="B82" s="163"/>
      <c r="C82" s="163"/>
      <c r="D82" s="163"/>
      <c r="E82" s="163"/>
      <c r="F82" s="163"/>
      <c r="G82" s="163"/>
      <c r="H82" s="163"/>
      <c r="I82" s="163"/>
      <c r="J82" s="96">
        <f t="shared" si="2"/>
        <v>0</v>
      </c>
      <c r="K82" s="108"/>
      <c r="L82" s="171"/>
      <c r="M82" s="108"/>
      <c r="N82" s="108"/>
      <c r="O82" s="69" t="s">
        <v>105</v>
      </c>
    </row>
    <row r="83" spans="1:15" outlineLevel="1">
      <c r="A83" s="177" t="s">
        <v>3</v>
      </c>
      <c r="B83" s="178"/>
      <c r="C83" s="178"/>
      <c r="D83" s="178"/>
      <c r="E83" s="178"/>
      <c r="F83" s="178"/>
      <c r="G83" s="178"/>
      <c r="H83" s="178"/>
      <c r="I83" s="179"/>
      <c r="J83" s="96">
        <f t="shared" si="2"/>
        <v>49579.85</v>
      </c>
      <c r="K83" s="108"/>
      <c r="L83" s="171"/>
      <c r="M83" s="108"/>
      <c r="N83" s="108"/>
      <c r="O83" s="69" t="s">
        <v>106</v>
      </c>
    </row>
    <row r="84" spans="1:15" outlineLevel="1">
      <c r="A84" s="177" t="s">
        <v>15</v>
      </c>
      <c r="B84" s="178"/>
      <c r="C84" s="178"/>
      <c r="D84" s="178"/>
      <c r="E84" s="178"/>
      <c r="F84" s="178"/>
      <c r="G84" s="178"/>
      <c r="H84" s="178"/>
      <c r="I84" s="179"/>
      <c r="J84" s="96">
        <f t="shared" si="2"/>
        <v>0</v>
      </c>
      <c r="K84" s="108"/>
      <c r="L84" s="171"/>
      <c r="M84" s="108"/>
      <c r="N84" s="108"/>
      <c r="O84" s="69" t="s">
        <v>107</v>
      </c>
    </row>
    <row r="85" spans="1:15" outlineLevel="1">
      <c r="A85" s="177" t="s">
        <v>16</v>
      </c>
      <c r="B85" s="178"/>
      <c r="C85" s="178"/>
      <c r="D85" s="178"/>
      <c r="E85" s="178"/>
      <c r="F85" s="178"/>
      <c r="G85" s="178"/>
      <c r="H85" s="178"/>
      <c r="I85" s="179"/>
      <c r="J85" s="96">
        <f t="shared" si="2"/>
        <v>0</v>
      </c>
      <c r="K85" s="108"/>
      <c r="L85" s="171"/>
      <c r="M85" s="108"/>
      <c r="N85" s="108"/>
      <c r="O85" s="69" t="s">
        <v>108</v>
      </c>
    </row>
    <row r="86" spans="1:15" outlineLevel="1">
      <c r="A86" s="177" t="s">
        <v>17</v>
      </c>
      <c r="B86" s="178"/>
      <c r="C86" s="178"/>
      <c r="D86" s="178"/>
      <c r="E86" s="178"/>
      <c r="F86" s="178"/>
      <c r="G86" s="178"/>
      <c r="H86" s="178"/>
      <c r="I86" s="179"/>
      <c r="J86" s="96">
        <f t="shared" si="2"/>
        <v>48814.73</v>
      </c>
      <c r="K86" s="108"/>
      <c r="L86" s="171"/>
      <c r="M86" s="108"/>
      <c r="N86" s="108"/>
      <c r="O86" s="69" t="s">
        <v>109</v>
      </c>
    </row>
    <row r="87" spans="1:15" ht="18.75" customHeight="1" outlineLevel="1">
      <c r="A87" s="177" t="s">
        <v>26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8"/>
      <c r="L87" s="171"/>
      <c r="M87" s="108"/>
      <c r="N87" s="108"/>
      <c r="O87" s="69" t="s">
        <v>110</v>
      </c>
    </row>
    <row r="88" spans="1:15" ht="18.75" customHeight="1" outlineLevel="1">
      <c r="A88" s="177" t="s">
        <v>27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8"/>
      <c r="L88" s="171"/>
      <c r="M88" s="108"/>
      <c r="N88" s="108"/>
      <c r="O88" s="69" t="s">
        <v>111</v>
      </c>
    </row>
    <row r="89" spans="1:15" ht="18.75" customHeight="1" outlineLevel="1">
      <c r="A89" s="177" t="s">
        <v>28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8"/>
      <c r="L89" s="171"/>
      <c r="M89" s="108"/>
      <c r="N89" s="108"/>
      <c r="O89" s="69" t="s">
        <v>112</v>
      </c>
    </row>
    <row r="90" spans="1:15" ht="18.75" customHeight="1" outlineLevel="1">
      <c r="A90" s="177" t="s">
        <v>29</v>
      </c>
      <c r="B90" s="178"/>
      <c r="C90" s="178"/>
      <c r="D90" s="178"/>
      <c r="E90" s="178"/>
      <c r="F90" s="178"/>
      <c r="G90" s="178"/>
      <c r="H90" s="178"/>
      <c r="I90" s="179"/>
      <c r="J90" s="96">
        <f t="shared" si="2"/>
        <v>0</v>
      </c>
      <c r="K90" s="108"/>
      <c r="L90" s="171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86" t="s">
        <v>47</v>
      </c>
      <c r="B93" s="186"/>
      <c r="C93" s="186"/>
      <c r="D93" s="187" t="s">
        <v>48</v>
      </c>
      <c r="E93" s="187"/>
      <c r="F93" s="10" t="s">
        <v>49</v>
      </c>
      <c r="G93" s="186" t="s">
        <v>50</v>
      </c>
      <c r="H93" s="186"/>
      <c r="I93" s="186"/>
      <c r="J93" s="186"/>
      <c r="K93" s="108"/>
      <c r="L93" s="108"/>
      <c r="M93" s="108"/>
      <c r="N93" s="108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9">
        <f>VLOOKUP("эл",АО,5,FALSE)</f>
        <v>172748.24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outlineLevel="2">
      <c r="A95" s="184" t="str">
        <f>IF(VLOOKUP("эл",АО,3,FALSE)&gt;0,VLOOKUP("эл1",АО,2,FALSE),0)</f>
        <v>Общий объем потребления, нат. показ.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143956.87</v>
      </c>
      <c r="L95" s="172"/>
      <c r="O95" s="1" t="s">
        <v>114</v>
      </c>
    </row>
    <row r="96" spans="1:15" outlineLevel="2">
      <c r="A96" s="184" t="str">
        <f>IF(VLOOKUP("эл",АО,3,FALSE)&gt;0,VLOOKUP("эл2",АО,2,FALSE),0)</f>
        <v>Оплачено потребителями, руб.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170301.13</v>
      </c>
      <c r="L96" s="172"/>
      <c r="O96" s="1" t="s">
        <v>115</v>
      </c>
    </row>
    <row r="97" spans="1:15" outlineLevel="2">
      <c r="A97" s="184" t="str">
        <f>IF(VLOOKUP("эл",АО,3,FALSE)&gt;0,VLOOKUP("эл3",АО,2,FALSE),0)</f>
        <v>Задолженность потребителей, руб.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2447.109999999986</v>
      </c>
      <c r="L97" s="172"/>
      <c r="O97" s="1" t="s">
        <v>116</v>
      </c>
    </row>
    <row r="98" spans="1:15" ht="37.5" customHeight="1" outlineLevel="2">
      <c r="A98" s="184" t="str">
        <f>IF(VLOOKUP("эл",АО,3,FALSE)&gt;0,VLOOKUP("эл4",АО,2,FALSE),0)</f>
        <v>Начислено поставщиком (поставщиками) коммунального ресурса, руб.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172748.24</v>
      </c>
      <c r="L98" s="172"/>
      <c r="O98" s="1" t="s">
        <v>117</v>
      </c>
    </row>
    <row r="99" spans="1:15" outlineLevel="2">
      <c r="A99" s="184" t="str">
        <f>IF(VLOOKUP("эл",АО,3,FALSE)&gt;0,VLOOKUP("эл5",АО,2,FALSE),0)</f>
        <v>Оплачено поставщику (поставщикам) коммунального ресурса, руб.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172748.24</v>
      </c>
      <c r="L99" s="172"/>
      <c r="O99" s="1" t="s">
        <v>118</v>
      </c>
    </row>
    <row r="100" spans="1:15" ht="39" customHeight="1" outlineLevel="2">
      <c r="A100" s="18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119</v>
      </c>
    </row>
    <row r="101" spans="1:15" ht="34.5" customHeight="1" outlineLevel="2">
      <c r="A101" s="18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120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9">
        <f>VLOOKUP("хвс",АО,5,FALSE)</f>
        <v>49542.52</v>
      </c>
      <c r="H102" s="168"/>
      <c r="I102" s="168"/>
      <c r="J102" s="168"/>
      <c r="L102" s="172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3753.22</v>
      </c>
      <c r="L103" s="172"/>
      <c r="O103" s="1" t="s">
        <v>123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49399.22</v>
      </c>
      <c r="L104" s="172"/>
      <c r="O104" s="1" t="s">
        <v>124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143.29999999999563</v>
      </c>
      <c r="L105" s="172"/>
      <c r="O105" s="1" t="s">
        <v>125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49542.52</v>
      </c>
      <c r="L106" s="172"/>
      <c r="O106" s="1" t="s">
        <v>126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49542.52</v>
      </c>
      <c r="L107" s="172"/>
      <c r="O107" s="1" t="s">
        <v>127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128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129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9">
        <f>VLOOKUP("воо",АО,5,FALSE)</f>
        <v>94472.06</v>
      </c>
      <c r="H110" s="168"/>
      <c r="I110" s="168"/>
      <c r="J110" s="168"/>
      <c r="L110" s="172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5889.78</v>
      </c>
      <c r="L111" s="172"/>
      <c r="O111" s="1" t="s">
        <v>131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93812.93</v>
      </c>
      <c r="L112" s="172"/>
      <c r="O112" s="1" t="s">
        <v>132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659.13000000000466</v>
      </c>
      <c r="L113" s="172"/>
      <c r="O113" s="1" t="s">
        <v>133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94472.06</v>
      </c>
      <c r="L114" s="172"/>
      <c r="O114" s="1" t="s">
        <v>134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94472.06</v>
      </c>
      <c r="L115" s="172"/>
      <c r="O115" s="1" t="s">
        <v>135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72"/>
      <c r="O116" s="1" t="s">
        <v>136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72"/>
      <c r="O117" s="1" t="s">
        <v>137</v>
      </c>
    </row>
    <row r="118" spans="1:15" ht="32.25" customHeight="1" outlineLevel="1">
      <c r="A118" s="167" t="str">
        <f>IF(VLOOKUP("тко",АО,3,FALSE)&gt;0,"Обращение с ТКО",0)</f>
        <v>Обращение с ТКО</v>
      </c>
      <c r="B118" s="167"/>
      <c r="C118" s="167"/>
      <c r="D118" s="168" t="str">
        <f>IF(VLOOKUP("тко",АО,3,FALSE)&gt;0,VLOOKUP("тко",АО,3,FALSE),0)</f>
        <v>Предоставляется</v>
      </c>
      <c r="E118" s="168"/>
      <c r="F118" s="13" t="str">
        <f>IF(VLOOKUP("тко",АО,3,FALSE)&gt;0,VLOOKUP("тко",АО,4,FALSE),0)</f>
        <v>куб.м.</v>
      </c>
      <c r="G118" s="169">
        <f>VLOOKUP("тко",АО,5,FALSE)</f>
        <v>104505.12</v>
      </c>
      <c r="H118" s="168"/>
      <c r="I118" s="168"/>
      <c r="J118" s="168"/>
      <c r="L118" s="47"/>
    </row>
    <row r="119" spans="1:15" ht="32.25" customHeight="1" outlineLevel="2">
      <c r="A119" s="163" t="str">
        <f t="shared" ref="A119:A125" si="8">IF(VLOOKUP("тко",АО,3,FALSE)&gt;0,VLOOKUP(O119,АО,2,FALSE),0)</f>
        <v>Общий объем потребления, нат. показ.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194.3</v>
      </c>
      <c r="L119" s="47"/>
      <c r="O119" s="1" t="s">
        <v>139</v>
      </c>
    </row>
    <row r="120" spans="1:15" ht="32.25" customHeight="1" outlineLevel="2">
      <c r="A120" s="163" t="str">
        <f t="shared" si="8"/>
        <v>Оплачено потребителями, руб.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109315.34</v>
      </c>
      <c r="L120" s="47"/>
      <c r="O120" s="1" t="s">
        <v>140</v>
      </c>
    </row>
    <row r="121" spans="1:15" ht="32.25" customHeight="1" outlineLevel="2">
      <c r="A121" s="163" t="str">
        <f t="shared" si="8"/>
        <v>Задолженность потребителей, руб.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3" t="str">
        <f t="shared" si="8"/>
        <v>Начислено поставщиком (поставщиками) коммунального ресурса, руб.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104505.12</v>
      </c>
      <c r="L122" s="47"/>
      <c r="O122" s="1" t="s">
        <v>142</v>
      </c>
    </row>
    <row r="123" spans="1:15" ht="32.25" customHeight="1" outlineLevel="2">
      <c r="A123" s="163" t="str">
        <f t="shared" si="8"/>
        <v>Оплачено поставщику (поставщикам) коммунального ресурса, руб.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104505.12</v>
      </c>
      <c r="L123" s="47"/>
      <c r="O123" s="1" t="s">
        <v>143</v>
      </c>
    </row>
    <row r="124" spans="1:15" ht="32.25" customHeight="1" outlineLevel="2">
      <c r="A124" s="163" t="str">
        <f t="shared" si="8"/>
        <v>Задолженность перед поставщиком (поставщиками) коммунального ресурса, руб.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3" t="str">
        <f t="shared" si="8"/>
        <v>Размер пени и штрафов, уплаченных поставщику (поставщикам) коммунального ресурса, руб.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67" t="str">
        <f>IF(VLOOKUP("гвс",АО,3,FALSE)&gt;0,"Горячее водоснабжение",0)</f>
        <v>Горячее водоснабжение</v>
      </c>
      <c r="B126" s="167"/>
      <c r="C126" s="167"/>
      <c r="D126" s="168" t="str">
        <f>IF(VLOOKUP("гвс",АО,3,FALSE)&gt;0,VLOOKUP("гвс",АО,3,FALSE),0)</f>
        <v>Предоставляется</v>
      </c>
      <c r="E126" s="168"/>
      <c r="F126" s="13" t="str">
        <f>IF(VLOOKUP("гвс",АО,3,FALSE)&gt;0,VLOOKUP("гвс",АО,4,FALSE),0)</f>
        <v>куб.м.</v>
      </c>
      <c r="G126" s="169">
        <f>VLOOKUP("гвс",АО,5,FALSE)</f>
        <v>28507.9</v>
      </c>
      <c r="H126" s="168"/>
      <c r="I126" s="168"/>
      <c r="J126" s="168"/>
      <c r="L126" s="47"/>
    </row>
    <row r="127" spans="1:15" ht="32.25" customHeight="1" outlineLevel="2">
      <c r="A127" s="163" t="str">
        <f t="shared" ref="A127:A133" si="10">IF(VLOOKUP("гвс",АО,3,FALSE)&gt;0,VLOOKUP(O127,АО,2,FALSE),0)</f>
        <v>Общий объем потребления, нат. показ.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2159.69</v>
      </c>
      <c r="L127" s="47"/>
      <c r="O127" s="1" t="s">
        <v>147</v>
      </c>
    </row>
    <row r="128" spans="1:15" ht="32.25" customHeight="1" outlineLevel="2">
      <c r="A128" s="163" t="str">
        <f t="shared" si="10"/>
        <v>Оплачено потребителями, руб.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27712.34</v>
      </c>
      <c r="L128" s="47"/>
      <c r="O128" s="1" t="s">
        <v>148</v>
      </c>
    </row>
    <row r="129" spans="1:15" ht="32.25" customHeight="1" outlineLevel="2">
      <c r="A129" s="163" t="str">
        <f t="shared" si="10"/>
        <v>Задолженность потребителей, руб.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795.56000000000131</v>
      </c>
      <c r="L129" s="47"/>
      <c r="O129" s="1" t="s">
        <v>149</v>
      </c>
    </row>
    <row r="130" spans="1:15" ht="32.25" customHeight="1" outlineLevel="2">
      <c r="A130" s="163" t="str">
        <f t="shared" si="10"/>
        <v>Начислено поставщиком (поставщиками) коммунального ресурса, руб.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28507.9</v>
      </c>
      <c r="L130" s="47"/>
      <c r="O130" s="1" t="s">
        <v>150</v>
      </c>
    </row>
    <row r="131" spans="1:15" ht="32.25" customHeight="1" outlineLevel="2">
      <c r="A131" s="163" t="str">
        <f t="shared" si="10"/>
        <v>Оплачено поставщику (поставщикам) коммунального ресурса, руб.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28507.9</v>
      </c>
      <c r="L131" s="47"/>
      <c r="O131" s="1" t="s">
        <v>151</v>
      </c>
    </row>
    <row r="132" spans="1:15" ht="32.25" customHeight="1" outlineLevel="2">
      <c r="A132" s="163" t="str">
        <f t="shared" si="10"/>
        <v>Задолженность перед поставщиком (поставщиками) коммунального ресурса, руб.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63" t="str">
        <f t="shared" si="10"/>
        <v>Размер пени и штрафов, уплаченных поставщику (поставщикам) коммунального ресурса, руб.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7"/>
      <c r="O141" s="1" t="s">
        <v>161</v>
      </c>
    </row>
    <row r="143" spans="1:15">
      <c r="A143" s="11" t="s">
        <v>43</v>
      </c>
    </row>
    <row r="144" spans="1:15" ht="18.75" customHeight="1" outlineLevel="1">
      <c r="A144" s="163" t="s">
        <v>44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171</v>
      </c>
    </row>
    <row r="145" spans="1:15" ht="18.75" customHeight="1" outlineLevel="1">
      <c r="A145" s="163" t="s">
        <v>45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63" t="s">
        <v>174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38921.599999999999</v>
      </c>
      <c r="O146" t="s">
        <v>173</v>
      </c>
    </row>
    <row r="149" spans="1:15" ht="52.5" customHeight="1">
      <c r="A149" s="188" t="s">
        <v>184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185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90" t="s">
        <v>186</v>
      </c>
      <c r="B154" s="190"/>
      <c r="C154" s="190"/>
      <c r="D154" s="190"/>
      <c r="E154" s="27">
        <f>ПТО!G1</f>
        <v>-182338.43</v>
      </c>
    </row>
    <row r="155" spans="1:15" ht="34.5" customHeight="1">
      <c r="A155" s="189" t="s">
        <v>187</v>
      </c>
      <c r="B155" s="189"/>
      <c r="C155" s="189"/>
      <c r="D155" s="189"/>
      <c r="E155" s="28">
        <f>J13</f>
        <v>160941.96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18</v>
      </c>
      <c r="B157" s="173"/>
      <c r="C157" s="173"/>
      <c r="D157" s="173"/>
      <c r="E157" s="173"/>
      <c r="F157" s="173" t="s">
        <v>19</v>
      </c>
      <c r="G157" s="173"/>
      <c r="H157" s="20" t="s">
        <v>56</v>
      </c>
      <c r="I157" s="173" t="s">
        <v>20</v>
      </c>
      <c r="J157" s="173"/>
    </row>
    <row r="158" spans="1:15" ht="29.25" customHeight="1">
      <c r="A158" s="165" t="str">
        <f t="shared" ref="A158:A163" si="14">IF(N158&gt;0,N158,0)</f>
        <v>Техническое освидетельствование лифта.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8100</v>
      </c>
      <c r="G158" s="170"/>
      <c r="H158" s="24" t="str">
        <f t="shared" ref="H158:H187" si="16">VLOOKUP(A158,$A$28:$J$72,8,FALSE)</f>
        <v>ежегодно</v>
      </c>
      <c r="I158" s="166">
        <f t="shared" ref="I158:I161" si="17">VLOOKUP(A158,$A$28:$J$72,9,FALSE)</f>
        <v>1</v>
      </c>
      <c r="J158" s="16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5" t="str">
        <f t="shared" si="14"/>
        <v>Техническое обслуживание видеонаблюдения.</v>
      </c>
      <c r="B159" s="165"/>
      <c r="C159" s="165"/>
      <c r="D159" s="165"/>
      <c r="E159" s="165"/>
      <c r="F159" s="170">
        <f t="shared" si="15"/>
        <v>33600</v>
      </c>
      <c r="G159" s="170"/>
      <c r="H159" s="24" t="str">
        <f t="shared" si="16"/>
        <v>ежемесячно</v>
      </c>
      <c r="I159" s="166">
        <f t="shared" si="17"/>
        <v>12</v>
      </c>
      <c r="J159" s="166"/>
      <c r="M159" s="22" t="s">
        <v>71</v>
      </c>
      <c r="N159" s="1" t="str">
        <v>Техническое обслуживание видеонаблюдения.</v>
      </c>
    </row>
    <row r="160" spans="1:15" ht="28.5" customHeight="1">
      <c r="A160" s="165" t="str">
        <f t="shared" si="14"/>
        <v>Механизированная уборка и вывоз снега с придомовой территории.</v>
      </c>
      <c r="B160" s="165"/>
      <c r="C160" s="165"/>
      <c r="D160" s="165"/>
      <c r="E160" s="165"/>
      <c r="F160" s="170">
        <f t="shared" si="15"/>
        <v>14271.44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5" t="str">
        <f>IF(N161&gt;0,N161,0)</f>
        <v>Замена светильников на акустические (4,5 и 10 этажи).</v>
      </c>
      <c r="B161" s="165"/>
      <c r="C161" s="165"/>
      <c r="D161" s="165"/>
      <c r="E161" s="165"/>
      <c r="F161" s="170">
        <f t="shared" si="15"/>
        <v>3600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71</v>
      </c>
      <c r="N161" s="1" t="str">
        <v>Замена светильников на акустические (4,5 и 10 этажи).</v>
      </c>
    </row>
    <row r="162" spans="1:14" ht="28.5" customHeight="1">
      <c r="A162" s="165" t="str">
        <f t="shared" si="14"/>
        <v>Замена общедомового прибора учета ХВС.</v>
      </c>
      <c r="B162" s="165"/>
      <c r="C162" s="165"/>
      <c r="D162" s="165"/>
      <c r="E162" s="165"/>
      <c r="F162" s="170">
        <f t="shared" si="15"/>
        <v>3929.56</v>
      </c>
      <c r="G162" s="170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71</v>
      </c>
      <c r="N162" s="1" t="str">
        <v>Замена общедомового прибора учета ХВС.</v>
      </c>
    </row>
    <row r="163" spans="1:14" ht="28.5" customHeight="1">
      <c r="A163" s="165" t="str">
        <f t="shared" si="14"/>
        <v>Установка комплекта аварийного освещения кабины лифта.</v>
      </c>
      <c r="B163" s="165"/>
      <c r="C163" s="165"/>
      <c r="D163" s="165"/>
      <c r="E163" s="165"/>
      <c r="F163" s="170">
        <f t="shared" si="15"/>
        <v>1379</v>
      </c>
      <c r="G163" s="170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71</v>
      </c>
      <c r="N163" s="1" t="str">
        <v>Установка комплекта аварийного освещения кабины лифта.</v>
      </c>
    </row>
    <row r="164" spans="1:14" ht="28.5" customHeight="1">
      <c r="A164" s="165" t="str">
        <f t="shared" ref="A164:A187" si="18">IF(N164&gt;0,N164,0)</f>
        <v>Ремонт видеорегистратора системы видеонаблюдения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3500</v>
      </c>
      <c r="G164" s="170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71</v>
      </c>
      <c r="N164" s="1" t="str">
        <v>Ремонт видеорегистратора системы видеонаблюдения</v>
      </c>
    </row>
    <row r="165" spans="1:14" ht="28.5" customHeight="1">
      <c r="A165" s="165" t="str">
        <f t="shared" si="18"/>
        <v>Ремонт уличной лестницы (вдоль дома).</v>
      </c>
      <c r="B165" s="165"/>
      <c r="C165" s="165"/>
      <c r="D165" s="165"/>
      <c r="E165" s="165"/>
      <c r="F165" s="170">
        <f t="shared" si="19"/>
        <v>2485</v>
      </c>
      <c r="G165" s="170"/>
      <c r="H165" s="29" t="str">
        <f t="shared" si="16"/>
        <v>разово</v>
      </c>
      <c r="I165" s="166">
        <f t="shared" si="20"/>
        <v>1</v>
      </c>
      <c r="J165" s="166"/>
      <c r="M165" s="22" t="s">
        <v>71</v>
      </c>
      <c r="N165" s="1" t="str">
        <v>Ремонт уличной лестницы (вдоль дома).</v>
      </c>
    </row>
    <row r="166" spans="1:14" ht="28.5" hidden="1" customHeight="1">
      <c r="A166" s="165">
        <f t="shared" si="18"/>
        <v>0</v>
      </c>
      <c r="B166" s="165"/>
      <c r="C166" s="165"/>
      <c r="D166" s="165"/>
      <c r="E166" s="165"/>
      <c r="F166" s="170">
        <f t="shared" si="19"/>
        <v>0</v>
      </c>
      <c r="G166" s="170"/>
      <c r="H166" s="29" t="e">
        <f t="shared" si="16"/>
        <v>#N/A</v>
      </c>
      <c r="I166" s="166" t="e">
        <f t="shared" si="20"/>
        <v>#N/A</v>
      </c>
      <c r="J166" s="166"/>
      <c r="M166" s="22" t="s">
        <v>71</v>
      </c>
      <c r="N166" s="1">
        <v>0</v>
      </c>
    </row>
    <row r="167" spans="1:14" ht="28.5" hidden="1" customHeight="1">
      <c r="A167" s="165">
        <f t="shared" si="18"/>
        <v>0</v>
      </c>
      <c r="B167" s="165"/>
      <c r="C167" s="165"/>
      <c r="D167" s="165"/>
      <c r="E167" s="165"/>
      <c r="F167" s="170">
        <f t="shared" si="19"/>
        <v>0</v>
      </c>
      <c r="G167" s="170"/>
      <c r="H167" s="29" t="e">
        <f t="shared" si="16"/>
        <v>#N/A</v>
      </c>
      <c r="I167" s="166" t="e">
        <f t="shared" si="20"/>
        <v>#N/A</v>
      </c>
      <c r="J167" s="166"/>
      <c r="M167" s="22" t="s">
        <v>71</v>
      </c>
      <c r="N167" s="1">
        <v>0</v>
      </c>
    </row>
    <row r="168" spans="1:14" ht="28.5" hidden="1" customHeight="1">
      <c r="A168" s="165">
        <f t="shared" si="18"/>
        <v>0</v>
      </c>
      <c r="B168" s="165"/>
      <c r="C168" s="165"/>
      <c r="D168" s="165"/>
      <c r="E168" s="165"/>
      <c r="F168" s="170">
        <f t="shared" si="19"/>
        <v>0</v>
      </c>
      <c r="G168" s="170"/>
      <c r="H168" s="29" t="e">
        <f t="shared" si="16"/>
        <v>#N/A</v>
      </c>
      <c r="I168" s="166" t="e">
        <f t="shared" si="20"/>
        <v>#N/A</v>
      </c>
      <c r="J168" s="166"/>
      <c r="M168" s="22" t="s">
        <v>71</v>
      </c>
      <c r="N168" s="1">
        <v>0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70">
        <f t="shared" si="19"/>
        <v>0</v>
      </c>
      <c r="G169" s="170"/>
      <c r="H169" s="29" t="e">
        <f t="shared" si="16"/>
        <v>#N/A</v>
      </c>
      <c r="I169" s="166" t="e">
        <f t="shared" si="20"/>
        <v>#N/A</v>
      </c>
      <c r="J169" s="166"/>
      <c r="M169" s="22" t="s">
        <v>71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70">
        <f t="shared" si="19"/>
        <v>0</v>
      </c>
      <c r="G170" s="170"/>
      <c r="H170" s="29" t="e">
        <f t="shared" si="16"/>
        <v>#N/A</v>
      </c>
      <c r="I170" s="166" t="e">
        <f t="shared" si="20"/>
        <v>#N/A</v>
      </c>
      <c r="J170" s="166"/>
      <c r="M170" s="22" t="s">
        <v>71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70">
        <f t="shared" si="19"/>
        <v>0</v>
      </c>
      <c r="G171" s="170"/>
      <c r="H171" s="29" t="e">
        <f t="shared" si="16"/>
        <v>#N/A</v>
      </c>
      <c r="I171" s="166" t="e">
        <f t="shared" si="20"/>
        <v>#N/A</v>
      </c>
      <c r="J171" s="166"/>
      <c r="M171" s="22" t="s">
        <v>71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70">
        <f t="shared" si="19"/>
        <v>0</v>
      </c>
      <c r="G172" s="170"/>
      <c r="H172" s="29" t="e">
        <f t="shared" si="16"/>
        <v>#N/A</v>
      </c>
      <c r="I172" s="166" t="e">
        <f t="shared" si="20"/>
        <v>#N/A</v>
      </c>
      <c r="J172" s="166"/>
      <c r="M172" s="22" t="s">
        <v>71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70">
        <f t="shared" si="19"/>
        <v>0</v>
      </c>
      <c r="G173" s="170"/>
      <c r="H173" s="29" t="e">
        <f t="shared" si="16"/>
        <v>#N/A</v>
      </c>
      <c r="I173" s="166" t="e">
        <f t="shared" si="20"/>
        <v>#N/A</v>
      </c>
      <c r="J173" s="166"/>
      <c r="M173" s="22" t="s">
        <v>71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70">
        <f t="shared" si="19"/>
        <v>0</v>
      </c>
      <c r="G174" s="170"/>
      <c r="H174" s="29" t="e">
        <f t="shared" si="16"/>
        <v>#N/A</v>
      </c>
      <c r="I174" s="166" t="e">
        <f t="shared" si="20"/>
        <v>#N/A</v>
      </c>
      <c r="J174" s="166"/>
      <c r="M174" s="22" t="s">
        <v>71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70">
        <f t="shared" si="19"/>
        <v>0</v>
      </c>
      <c r="G175" s="170"/>
      <c r="H175" s="29" t="e">
        <f t="shared" si="16"/>
        <v>#N/A</v>
      </c>
      <c r="I175" s="166" t="e">
        <f t="shared" si="20"/>
        <v>#N/A</v>
      </c>
      <c r="J175" s="166"/>
      <c r="M175" s="22" t="s">
        <v>71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70">
        <f t="shared" si="19"/>
        <v>0</v>
      </c>
      <c r="G176" s="170"/>
      <c r="H176" s="29" t="e">
        <f t="shared" si="16"/>
        <v>#N/A</v>
      </c>
      <c r="I176" s="166" t="e">
        <f t="shared" si="20"/>
        <v>#N/A</v>
      </c>
      <c r="J176" s="166"/>
      <c r="M176" s="22" t="s">
        <v>71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70">
        <f t="shared" si="19"/>
        <v>0</v>
      </c>
      <c r="G177" s="170"/>
      <c r="H177" s="29" t="e">
        <f t="shared" si="16"/>
        <v>#N/A</v>
      </c>
      <c r="I177" s="166" t="e">
        <f t="shared" si="20"/>
        <v>#N/A</v>
      </c>
      <c r="J177" s="166"/>
      <c r="M177" s="22" t="s">
        <v>71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70">
        <f t="shared" si="19"/>
        <v>0</v>
      </c>
      <c r="G178" s="170"/>
      <c r="H178" s="29" t="e">
        <f t="shared" si="16"/>
        <v>#N/A</v>
      </c>
      <c r="I178" s="166" t="e">
        <f t="shared" si="20"/>
        <v>#N/A</v>
      </c>
      <c r="J178" s="166"/>
      <c r="M178" s="22" t="s">
        <v>71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70">
        <f t="shared" si="19"/>
        <v>0</v>
      </c>
      <c r="G179" s="170"/>
      <c r="H179" s="29" t="e">
        <f t="shared" si="16"/>
        <v>#N/A</v>
      </c>
      <c r="I179" s="166" t="e">
        <f t="shared" si="20"/>
        <v>#N/A</v>
      </c>
      <c r="J179" s="166"/>
      <c r="M179" s="22" t="s">
        <v>71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70">
        <f t="shared" si="19"/>
        <v>0</v>
      </c>
      <c r="G180" s="170"/>
      <c r="H180" s="29" t="e">
        <f t="shared" si="16"/>
        <v>#N/A</v>
      </c>
      <c r="I180" s="166" t="e">
        <f t="shared" si="20"/>
        <v>#N/A</v>
      </c>
      <c r="J180" s="166"/>
      <c r="M180" s="22" t="s">
        <v>71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70">
        <f t="shared" si="19"/>
        <v>0</v>
      </c>
      <c r="G181" s="170"/>
      <c r="H181" s="29" t="e">
        <f t="shared" si="16"/>
        <v>#N/A</v>
      </c>
      <c r="I181" s="166" t="e">
        <f t="shared" si="20"/>
        <v>#N/A</v>
      </c>
      <c r="J181" s="166"/>
      <c r="M181" s="22" t="s">
        <v>71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70">
        <f t="shared" si="19"/>
        <v>0</v>
      </c>
      <c r="G182" s="170"/>
      <c r="H182" s="29" t="e">
        <f t="shared" si="16"/>
        <v>#N/A</v>
      </c>
      <c r="I182" s="166" t="e">
        <f t="shared" si="20"/>
        <v>#N/A</v>
      </c>
      <c r="J182" s="166"/>
      <c r="M182" s="22" t="s">
        <v>71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70">
        <f t="shared" si="19"/>
        <v>0</v>
      </c>
      <c r="G183" s="170"/>
      <c r="H183" s="29" t="e">
        <f t="shared" si="16"/>
        <v>#N/A</v>
      </c>
      <c r="I183" s="166" t="e">
        <f t="shared" si="20"/>
        <v>#N/A</v>
      </c>
      <c r="J183" s="166"/>
      <c r="M183" s="22" t="s">
        <v>71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70">
        <f t="shared" si="19"/>
        <v>0</v>
      </c>
      <c r="G184" s="170"/>
      <c r="H184" s="29" t="e">
        <f t="shared" si="16"/>
        <v>#N/A</v>
      </c>
      <c r="I184" s="166" t="e">
        <f t="shared" si="20"/>
        <v>#N/A</v>
      </c>
      <c r="J184" s="166"/>
      <c r="M184" s="22" t="s">
        <v>71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71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71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71</v>
      </c>
      <c r="N187" s="1">
        <v>0</v>
      </c>
    </row>
    <row r="188" spans="1:14" ht="29.25" customHeight="1">
      <c r="A188" s="103" t="s">
        <v>175</v>
      </c>
    </row>
    <row r="189" spans="1:14" ht="29.25" customHeight="1">
      <c r="A189" s="103" t="s">
        <v>175</v>
      </c>
    </row>
    <row r="190" spans="1:14" ht="36.75" customHeight="1">
      <c r="A190" s="190" t="s">
        <v>188</v>
      </c>
      <c r="B190" s="190"/>
      <c r="C190" s="190"/>
      <c r="D190" s="190"/>
      <c r="E190" s="27">
        <f>SUM(F158:G187)</f>
        <v>70865</v>
      </c>
    </row>
    <row r="191" spans="1:14" ht="51.75" customHeight="1">
      <c r="A191" s="190" t="s">
        <v>190</v>
      </c>
      <c r="B191" s="190"/>
      <c r="C191" s="190"/>
      <c r="D191" s="190"/>
      <c r="E191" s="27">
        <f>E190+E154-E155</f>
        <v>-272415.39</v>
      </c>
    </row>
    <row r="192" spans="1:14">
      <c r="A192" s="103" t="s">
        <v>175</v>
      </c>
    </row>
    <row r="193" spans="1:10" ht="62.25" customHeight="1">
      <c r="A193" s="164" t="s">
        <v>189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8">
        <f>ПТО!G12</f>
        <v>1200</v>
      </c>
      <c r="I194" s="49" t="s">
        <v>74</v>
      </c>
    </row>
    <row r="195" spans="1:10" ht="18.75" customHeight="1">
      <c r="A195" s="162" t="str">
        <f>ПТО!F13</f>
        <v xml:space="preserve">  -  техническое освидетельствование лифта</v>
      </c>
      <c r="B195" s="162"/>
      <c r="C195" s="162"/>
      <c r="D195" s="162"/>
      <c r="E195" s="162"/>
      <c r="F195" s="162"/>
      <c r="G195" s="162"/>
      <c r="H195" s="48">
        <f>ПТО!G13</f>
        <v>8100</v>
      </c>
      <c r="I195" s="49" t="s">
        <v>74</v>
      </c>
    </row>
    <row r="196" spans="1:10" ht="18.75" customHeight="1">
      <c r="A196" s="162" t="str">
        <f>ПТО!F14</f>
        <v xml:space="preserve">  -  техническое обслуживание системы видеонаблюдения</v>
      </c>
      <c r="B196" s="162"/>
      <c r="C196" s="162"/>
      <c r="D196" s="162"/>
      <c r="E196" s="162"/>
      <c r="F196" s="162"/>
      <c r="G196" s="162"/>
      <c r="H196" s="48">
        <f>ПТО!G14</f>
        <v>33600</v>
      </c>
      <c r="I196" s="49" t="s">
        <v>74</v>
      </c>
    </row>
    <row r="197" spans="1:10" ht="18.75" customHeight="1">
      <c r="A197" s="162" t="str">
        <f>ПТО!F15</f>
        <v xml:space="preserve">  -  ремонт подъезда</v>
      </c>
      <c r="B197" s="162"/>
      <c r="C197" s="162"/>
      <c r="D197" s="162"/>
      <c r="E197" s="162"/>
      <c r="F197" s="162"/>
      <c r="G197" s="162"/>
      <c r="H197" s="48">
        <f>ПТО!G15</f>
        <v>450000</v>
      </c>
      <c r="I197" s="49" t="s">
        <v>74</v>
      </c>
    </row>
    <row r="198" spans="1:10" ht="18.75" hidden="1" customHeight="1">
      <c r="A198" s="162">
        <f>ПТО!F16</f>
        <v>0</v>
      </c>
      <c r="B198" s="162"/>
      <c r="C198" s="162"/>
      <c r="D198" s="162"/>
      <c r="E198" s="162"/>
      <c r="F198" s="162"/>
      <c r="G198" s="162"/>
      <c r="H198" s="48">
        <f>ПТО!G16</f>
        <v>0</v>
      </c>
      <c r="I198" s="51" t="s">
        <v>74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48">
        <f>ПТО!G17</f>
        <v>0</v>
      </c>
      <c r="I199" s="49" t="s">
        <v>74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48">
        <f>ПТО!G18</f>
        <v>0</v>
      </c>
      <c r="I200" s="49" t="s">
        <v>74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48">
        <f>ПТО!G19</f>
        <v>0</v>
      </c>
      <c r="I201" s="49" t="s">
        <v>74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8">
        <f>ПТО!G20</f>
        <v>0</v>
      </c>
      <c r="I202" s="49" t="s">
        <v>74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8">
        <f>ПТО!G21</f>
        <v>0</v>
      </c>
      <c r="I203" s="49" t="s">
        <v>74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8">
        <f>ПТО!G22</f>
        <v>0</v>
      </c>
      <c r="I204" s="49" t="s">
        <v>74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8">
        <f>ПТО!G23</f>
        <v>0</v>
      </c>
      <c r="I205" s="49" t="s">
        <v>74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8">
        <f>ПТО!G24</f>
        <v>0</v>
      </c>
      <c r="I206" s="49" t="s">
        <v>74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8">
        <f>ПТО!G25</f>
        <v>0</v>
      </c>
      <c r="I207" s="49" t="s">
        <v>74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8">
        <f>ПТО!G26</f>
        <v>0</v>
      </c>
      <c r="I208" s="49" t="s">
        <v>74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8">
        <f>ПТО!G27</f>
        <v>0</v>
      </c>
      <c r="I209" s="49" t="s">
        <v>74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8">
        <f>ПТО!G28</f>
        <v>0</v>
      </c>
      <c r="I210" s="49" t="s">
        <v>74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8">
        <f>ПТО!G29</f>
        <v>0</v>
      </c>
      <c r="I211" s="49" t="s">
        <v>74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8">
        <f>ПТО!G30</f>
        <v>0</v>
      </c>
      <c r="I212" s="49" t="s">
        <v>74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492900</v>
      </c>
      <c r="I214" s="55" t="s">
        <v>78</v>
      </c>
    </row>
  </sheetData>
  <sheetProtection algorithmName="SHA-512" hashValue="fjJ5byT4Oz+OJ1InHLr8f9wJT/yEiHXDUBpmMXpFXmjU1K2iLEbTZhTitGSW6NpISwvzpHKITtHilFPhvrbdPQ==" saltValue="hwGbKLDvxB/jo5qsIB0XWA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6" sqref="D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186</v>
      </c>
      <c r="G1" s="100">
        <f>-182338.43</f>
        <v>-182338.43</v>
      </c>
    </row>
    <row r="2" spans="1:12" ht="18.75" customHeight="1">
      <c r="A2" s="126" t="s">
        <v>72</v>
      </c>
      <c r="B2" s="127" t="s">
        <v>180</v>
      </c>
      <c r="C2" s="127">
        <v>1</v>
      </c>
      <c r="D2" s="128">
        <v>8100</v>
      </c>
      <c r="E2" s="160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179</v>
      </c>
      <c r="B3" s="130" t="s">
        <v>181</v>
      </c>
      <c r="C3" s="127">
        <v>12</v>
      </c>
      <c r="D3" s="131">
        <f>2800*12</f>
        <v>33600</v>
      </c>
      <c r="E3" s="160" t="s">
        <v>212</v>
      </c>
      <c r="F3" s="30"/>
      <c r="G3" s="30"/>
      <c r="L3" s="33" t="str">
        <f t="shared" si="0"/>
        <v>ТР</v>
      </c>
    </row>
    <row r="4" spans="1:12" ht="18.75" customHeight="1">
      <c r="A4" s="137" t="s">
        <v>191</v>
      </c>
      <c r="B4" s="140" t="s">
        <v>192</v>
      </c>
      <c r="C4" s="138">
        <v>1</v>
      </c>
      <c r="D4" s="139">
        <v>14271.44</v>
      </c>
      <c r="E4" s="137" t="s">
        <v>193</v>
      </c>
      <c r="F4" s="30"/>
      <c r="G4" s="30"/>
      <c r="L4" s="33" t="str">
        <f t="shared" si="0"/>
        <v>ТР</v>
      </c>
    </row>
    <row r="5" spans="1:12" ht="18.75" customHeight="1">
      <c r="A5" s="159" t="s">
        <v>208</v>
      </c>
      <c r="B5" s="148" t="s">
        <v>192</v>
      </c>
      <c r="C5" s="149">
        <v>1</v>
      </c>
      <c r="D5" s="43">
        <v>3600</v>
      </c>
      <c r="E5" s="150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41" t="s">
        <v>194</v>
      </c>
      <c r="B6" s="142" t="s">
        <v>192</v>
      </c>
      <c r="C6" s="143">
        <v>1</v>
      </c>
      <c r="D6" s="144">
        <v>3929.56</v>
      </c>
      <c r="E6" s="161" t="s">
        <v>210</v>
      </c>
      <c r="F6" s="44"/>
      <c r="G6" s="44"/>
      <c r="K6" s="46"/>
      <c r="L6" s="33" t="str">
        <f t="shared" si="0"/>
        <v>ТР</v>
      </c>
    </row>
    <row r="7" spans="1:12" ht="18.75" customHeight="1">
      <c r="A7" s="145" t="s">
        <v>195</v>
      </c>
      <c r="B7" s="146" t="s">
        <v>192</v>
      </c>
      <c r="C7" s="119">
        <v>1</v>
      </c>
      <c r="D7" s="121">
        <v>1379</v>
      </c>
      <c r="E7" s="147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29" t="s">
        <v>199</v>
      </c>
      <c r="B8" s="130" t="s">
        <v>192</v>
      </c>
      <c r="C8" s="153">
        <v>1</v>
      </c>
      <c r="D8" s="128">
        <v>3500</v>
      </c>
      <c r="E8" s="160" t="s">
        <v>211</v>
      </c>
      <c r="F8" s="45"/>
      <c r="G8" s="45"/>
      <c r="K8" s="43"/>
      <c r="L8" s="33" t="str">
        <f t="shared" si="0"/>
        <v>ТР</v>
      </c>
    </row>
    <row r="9" spans="1:12">
      <c r="A9" s="151" t="s">
        <v>198</v>
      </c>
      <c r="B9" s="152" t="s">
        <v>192</v>
      </c>
      <c r="C9" s="127">
        <v>1</v>
      </c>
      <c r="D9" s="131">
        <v>2485</v>
      </c>
      <c r="E9" s="160" t="s">
        <v>213</v>
      </c>
      <c r="F9" s="44"/>
      <c r="G9" s="44"/>
      <c r="K9" s="43"/>
      <c r="L9" s="33" t="str">
        <f t="shared" si="0"/>
        <v>ТР</v>
      </c>
    </row>
    <row r="10" spans="1:12">
      <c r="A10" s="125"/>
      <c r="B10" s="123"/>
      <c r="C10" s="123"/>
      <c r="D10" s="46"/>
      <c r="E10" s="124"/>
      <c r="L10" s="33">
        <f t="shared" si="0"/>
        <v>0</v>
      </c>
    </row>
    <row r="11" spans="1:12" ht="94.5">
      <c r="A11" s="125"/>
      <c r="B11" s="123"/>
      <c r="C11" s="123"/>
      <c r="D11" s="46"/>
      <c r="E11" s="124"/>
      <c r="F11" s="110" t="s">
        <v>189</v>
      </c>
      <c r="G11" s="110"/>
      <c r="L11" s="33">
        <f t="shared" si="0"/>
        <v>0</v>
      </c>
    </row>
    <row r="12" spans="1:12" ht="31.5">
      <c r="A12" s="120"/>
      <c r="B12" s="117"/>
      <c r="C12" s="122"/>
      <c r="D12" s="118"/>
      <c r="E12" s="124"/>
      <c r="F12" s="111" t="s">
        <v>73</v>
      </c>
      <c r="G12" s="112">
        <v>1200</v>
      </c>
      <c r="L12" s="33">
        <f t="shared" si="0"/>
        <v>0</v>
      </c>
    </row>
    <row r="13" spans="1:12" ht="31.5">
      <c r="A13" s="132"/>
      <c r="B13" s="133"/>
      <c r="C13" s="134"/>
      <c r="D13" s="135"/>
      <c r="E13" s="136"/>
      <c r="F13" s="111" t="s">
        <v>75</v>
      </c>
      <c r="G13" s="112">
        <v>8100</v>
      </c>
      <c r="L13" s="33">
        <f t="shared" si="0"/>
        <v>0</v>
      </c>
    </row>
    <row r="14" spans="1:12" ht="31.5">
      <c r="A14" s="30"/>
      <c r="F14" s="111" t="s">
        <v>76</v>
      </c>
      <c r="G14" s="113">
        <v>33600</v>
      </c>
      <c r="L14" s="33">
        <f t="shared" si="0"/>
        <v>0</v>
      </c>
    </row>
    <row r="15" spans="1:12" ht="15.75">
      <c r="A15" s="30"/>
      <c r="F15" s="111" t="s">
        <v>183</v>
      </c>
      <c r="G15" s="112">
        <v>450000</v>
      </c>
      <c r="L15" s="33">
        <f t="shared" si="0"/>
        <v>0</v>
      </c>
    </row>
    <row r="16" spans="1:12" ht="15.75">
      <c r="A16" s="30"/>
      <c r="F16" s="111"/>
      <c r="G16" s="113"/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38">
        <v>108313.32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108313.32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60098.64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60098.64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109671.48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109671.48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40744.800000000003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40744.800000000003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13242.12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13242.12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46856.52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46856.52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135476.51999999999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135476.51999999999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200</v>
      </c>
      <c r="B47" s="154">
        <f>(E47*G53*F55*6+E47*G53*G55*6)+(F47*G59*F61*6+F47*G59*G61*6)+(F47*G63*F65*6+F47*G63*G65*6)</f>
        <v>49243.576050000003</v>
      </c>
      <c r="C47" s="155" t="s">
        <v>67</v>
      </c>
      <c r="D47" s="156">
        <v>12</v>
      </c>
      <c r="E47" s="154">
        <v>760.1</v>
      </c>
      <c r="F47" s="154">
        <v>423.9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49243.576050000003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57"/>
      <c r="C48" s="155"/>
      <c r="D48" s="156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8" t="s">
        <v>201</v>
      </c>
      <c r="F52" s="158" t="s">
        <v>202</v>
      </c>
      <c r="G52" s="158" t="s">
        <v>203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8">
        <v>35.896999999999998</v>
      </c>
      <c r="F53" s="154">
        <v>2852.8</v>
      </c>
      <c r="G53" s="158">
        <v>3.48</v>
      </c>
      <c r="H53" s="158">
        <f>G53*E47/F53</f>
        <v>0.92721116096466627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8"/>
      <c r="F54" s="158" t="s">
        <v>204</v>
      </c>
      <c r="G54" s="158" t="s">
        <v>205</v>
      </c>
      <c r="H54" s="158">
        <f>H53*G56</f>
        <v>27.167287016264723</v>
      </c>
    </row>
    <row r="55" spans="5:16">
      <c r="E55" s="158"/>
      <c r="F55" s="158">
        <v>1.17</v>
      </c>
      <c r="G55" s="158">
        <v>1.23</v>
      </c>
      <c r="H55" s="158"/>
    </row>
    <row r="56" spans="5:16">
      <c r="E56" s="158"/>
      <c r="F56" s="158"/>
      <c r="G56" s="158">
        <v>29.3</v>
      </c>
      <c r="H56" s="158"/>
    </row>
    <row r="57" spans="5:16">
      <c r="E57" s="158"/>
      <c r="F57" s="158"/>
      <c r="G57" s="158"/>
      <c r="H57" s="158"/>
    </row>
    <row r="58" spans="5:16">
      <c r="E58" s="158" t="s">
        <v>206</v>
      </c>
      <c r="F58" s="158"/>
      <c r="G58" s="158"/>
      <c r="H58" s="158"/>
    </row>
    <row r="59" spans="5:16">
      <c r="E59" s="158">
        <v>0.59599999999999997</v>
      </c>
      <c r="F59" s="154">
        <f>F53</f>
        <v>2852.8</v>
      </c>
      <c r="G59" s="158">
        <v>7.4999999999999997E-2</v>
      </c>
      <c r="H59" s="158">
        <f>G59*F47</f>
        <v>31.792499999999997</v>
      </c>
    </row>
    <row r="60" spans="5:16">
      <c r="E60" s="158"/>
      <c r="F60" s="158" t="s">
        <v>204</v>
      </c>
      <c r="G60" s="158" t="s">
        <v>205</v>
      </c>
      <c r="H60" s="158">
        <f>H59/F59</f>
        <v>1.1144314357823891E-2</v>
      </c>
    </row>
    <row r="61" spans="5:16">
      <c r="E61" s="158"/>
      <c r="F61" s="158">
        <v>12.94</v>
      </c>
      <c r="G61" s="158">
        <v>13.45</v>
      </c>
      <c r="H61" s="158">
        <f>H60*G56</f>
        <v>0.32652841068423999</v>
      </c>
    </row>
    <row r="62" spans="5:16">
      <c r="E62" s="158" t="s">
        <v>207</v>
      </c>
      <c r="F62" s="158"/>
      <c r="G62" s="158"/>
      <c r="H62" s="158"/>
    </row>
    <row r="63" spans="5:16">
      <c r="E63" s="158">
        <v>0.59599999999999997</v>
      </c>
      <c r="F63" s="154">
        <f>F53</f>
        <v>2852.8</v>
      </c>
      <c r="G63" s="158">
        <v>7.4999999999999997E-2</v>
      </c>
      <c r="H63" s="158">
        <f>G63*F47</f>
        <v>31.792499999999997</v>
      </c>
    </row>
    <row r="64" spans="5:16">
      <c r="E64" s="158"/>
      <c r="F64" s="158" t="s">
        <v>204</v>
      </c>
      <c r="G64" s="158" t="s">
        <v>205</v>
      </c>
      <c r="H64" s="158">
        <f>H63/F63</f>
        <v>1.1144314357823891E-2</v>
      </c>
    </row>
    <row r="65" spans="4:13" ht="18.75" customHeight="1">
      <c r="E65" s="158"/>
      <c r="F65" s="158">
        <v>15.73</v>
      </c>
      <c r="G65" s="158">
        <v>16.350000000000001</v>
      </c>
      <c r="H65" s="158">
        <f>H64*G56</f>
        <v>0.32652841068423999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D33" sqref="D33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182</v>
      </c>
      <c r="F1" s="59">
        <v>2829.5</v>
      </c>
    </row>
    <row r="2" spans="1:10" ht="15.75" customHeight="1">
      <c r="A2" s="69" t="s">
        <v>83</v>
      </c>
      <c r="B2" s="71" t="s">
        <v>1</v>
      </c>
      <c r="C2" s="82">
        <v>0</v>
      </c>
      <c r="D2" s="80" t="s">
        <v>57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2</v>
      </c>
      <c r="C3" s="78">
        <v>0</v>
      </c>
      <c r="D3" s="79" t="s">
        <v>58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3</v>
      </c>
      <c r="C4" s="82">
        <v>113438.7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4</v>
      </c>
      <c r="C5" s="78">
        <f>SUM(C6:C8)</f>
        <v>664204.13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5</v>
      </c>
      <c r="C6" s="82">
        <v>503262.17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6</v>
      </c>
      <c r="C7" s="82">
        <f>F1*4.74*12</f>
        <v>160941.96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8</v>
      </c>
      <c r="C9" s="78">
        <f>SUM(C10:C14)</f>
        <v>761208.84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9</v>
      </c>
      <c r="C10" s="82">
        <v>761208.84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14</v>
      </c>
      <c r="C15" s="78">
        <f>C9</f>
        <v>761208.84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15</v>
      </c>
      <c r="C16" s="78">
        <f>IF(C2&gt;0,IF(C2+C9-C5&gt;0,C2+C9-C5,0),IF(C9-C5&gt;0,IF(C4+C5-C9&gt;0,0,C9-C5-C4),0))</f>
        <v>0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17</v>
      </c>
      <c r="C18" s="78">
        <f>IF(C16&gt;0,0,IF(C4&gt;0,C4+C5-C9,C5-C2-C9))</f>
        <v>16433.989999999991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193"/>
      <c r="N20" s="61"/>
    </row>
    <row r="21" spans="1:15" ht="15.75" customHeight="1">
      <c r="A21" s="69" t="s">
        <v>101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193"/>
      <c r="N21" s="61"/>
    </row>
    <row r="22" spans="1:15" ht="15.75" customHeight="1">
      <c r="A22" s="69" t="s">
        <v>102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193"/>
      <c r="N22" s="61"/>
    </row>
    <row r="23" spans="1:15" ht="15.75" customHeight="1">
      <c r="A23" s="69" t="s">
        <v>103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193"/>
      <c r="N23" s="61"/>
    </row>
    <row r="24" spans="1:15" ht="18.75">
      <c r="A24" s="72" t="s">
        <v>163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192"/>
      <c r="N25" s="62"/>
    </row>
    <row r="26" spans="1:15" ht="18.75" customHeight="1">
      <c r="A26" s="69" t="s">
        <v>105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92"/>
      <c r="N26" s="62"/>
    </row>
    <row r="27" spans="1:15" ht="18.75" customHeight="1">
      <c r="A27" s="69" t="s">
        <v>106</v>
      </c>
      <c r="B27" s="74" t="s">
        <v>3</v>
      </c>
      <c r="C27" s="85">
        <v>49579.85</v>
      </c>
      <c r="D27" s="80" t="s">
        <v>59</v>
      </c>
      <c r="E27" s="63"/>
      <c r="F27" s="63"/>
      <c r="G27" s="63"/>
      <c r="H27" s="63"/>
      <c r="I27" s="63"/>
      <c r="J27" s="63"/>
      <c r="M27" s="192"/>
      <c r="N27" s="62"/>
    </row>
    <row r="28" spans="1:15" ht="18.75" customHeight="1">
      <c r="A28" s="69" t="s">
        <v>107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192"/>
      <c r="N28" s="62"/>
    </row>
    <row r="29" spans="1:15" ht="18.75" customHeight="1">
      <c r="A29" s="69" t="s">
        <v>108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92"/>
      <c r="N29" s="62"/>
    </row>
    <row r="30" spans="1:15" ht="18.75" customHeight="1">
      <c r="A30" s="69" t="s">
        <v>109</v>
      </c>
      <c r="B30" s="74" t="s">
        <v>17</v>
      </c>
      <c r="C30" s="85">
        <v>48814.73</v>
      </c>
      <c r="D30" s="80" t="s">
        <v>65</v>
      </c>
      <c r="E30" s="63"/>
      <c r="F30" s="63"/>
      <c r="G30" s="63"/>
      <c r="H30" s="63"/>
      <c r="I30" s="63"/>
      <c r="J30" s="63"/>
      <c r="M30" s="192"/>
      <c r="N30" s="62"/>
    </row>
    <row r="31" spans="1:15" ht="18.75" customHeight="1">
      <c r="A31" s="69" t="s">
        <v>110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92"/>
      <c r="N31" s="62"/>
    </row>
    <row r="32" spans="1:15" ht="18.75" customHeight="1">
      <c r="A32" s="69" t="s">
        <v>111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92"/>
      <c r="N32" s="62"/>
    </row>
    <row r="33" spans="1:15" ht="18.75" customHeight="1">
      <c r="A33" s="69" t="s">
        <v>112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92"/>
      <c r="N33" s="62"/>
    </row>
    <row r="34" spans="1:15" ht="18.75" customHeight="1">
      <c r="A34" s="69" t="s">
        <v>113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92"/>
      <c r="N34" s="62"/>
    </row>
    <row r="35" spans="1:15" ht="18.75">
      <c r="A35" s="72" t="s">
        <v>164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172748.24</v>
      </c>
      <c r="F37" s="93" t="s">
        <v>168</v>
      </c>
      <c r="G37" s="65"/>
      <c r="H37" s="65"/>
      <c r="I37" s="65"/>
      <c r="L37" s="62"/>
      <c r="M37" s="191"/>
      <c r="N37" s="62"/>
      <c r="O37" s="62"/>
    </row>
    <row r="38" spans="1:15" ht="18.75" customHeight="1">
      <c r="A38" s="69" t="s">
        <v>114</v>
      </c>
      <c r="B38" s="77" t="s">
        <v>36</v>
      </c>
      <c r="C38" s="89">
        <v>143956.87</v>
      </c>
      <c r="D38" s="93" t="s">
        <v>166</v>
      </c>
      <c r="E38" s="67"/>
      <c r="G38" s="66"/>
      <c r="H38" s="66"/>
      <c r="L38" s="62"/>
      <c r="M38" s="191"/>
      <c r="N38" s="62"/>
      <c r="O38" s="62"/>
    </row>
    <row r="39" spans="1:15" ht="18.75" customHeight="1">
      <c r="A39" s="69" t="s">
        <v>115</v>
      </c>
      <c r="B39" s="77" t="s">
        <v>37</v>
      </c>
      <c r="C39" s="90">
        <v>170301.13</v>
      </c>
      <c r="D39" s="93" t="s">
        <v>167</v>
      </c>
      <c r="E39" s="67"/>
      <c r="G39" s="66"/>
      <c r="H39" s="66"/>
      <c r="L39" s="62"/>
      <c r="M39" s="191"/>
      <c r="N39" s="62"/>
      <c r="O39" s="62"/>
    </row>
    <row r="40" spans="1:15" ht="18.75" customHeight="1">
      <c r="A40" s="69" t="s">
        <v>116</v>
      </c>
      <c r="B40" s="77" t="s">
        <v>38</v>
      </c>
      <c r="C40" s="92">
        <f>IF(E37-C39&lt;0,0,E37-C39)</f>
        <v>2447.109999999986</v>
      </c>
      <c r="D40" s="79" t="s">
        <v>58</v>
      </c>
      <c r="E40" s="67"/>
      <c r="G40" s="66"/>
      <c r="H40" s="66"/>
      <c r="L40" s="62"/>
      <c r="M40" s="191"/>
      <c r="N40" s="62"/>
      <c r="O40" s="62"/>
    </row>
    <row r="41" spans="1:15" ht="18.75" customHeight="1">
      <c r="A41" s="69" t="s">
        <v>117</v>
      </c>
      <c r="B41" s="77" t="s">
        <v>39</v>
      </c>
      <c r="C41" s="92">
        <f>E37</f>
        <v>172748.24</v>
      </c>
      <c r="D41" s="79" t="s">
        <v>58</v>
      </c>
      <c r="E41" s="67"/>
      <c r="G41" s="66"/>
      <c r="H41" s="66"/>
      <c r="L41" s="62"/>
      <c r="M41" s="191"/>
      <c r="N41" s="62"/>
      <c r="O41" s="62"/>
    </row>
    <row r="42" spans="1:15" ht="18.75" customHeight="1">
      <c r="A42" s="69" t="s">
        <v>118</v>
      </c>
      <c r="B42" s="77" t="s">
        <v>40</v>
      </c>
      <c r="C42" s="92">
        <f>E37</f>
        <v>172748.24</v>
      </c>
      <c r="D42" s="79" t="s">
        <v>58</v>
      </c>
      <c r="E42" s="67"/>
      <c r="G42" s="66"/>
      <c r="H42" s="66"/>
      <c r="L42" s="62"/>
      <c r="M42" s="191"/>
      <c r="N42" s="62"/>
      <c r="O42" s="62"/>
    </row>
    <row r="43" spans="1:15" ht="18.75" customHeight="1">
      <c r="A43" s="69" t="s">
        <v>119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191"/>
      <c r="N43" s="62"/>
      <c r="O43" s="62"/>
    </row>
    <row r="44" spans="1:15" ht="30" customHeight="1">
      <c r="A44" s="69" t="s">
        <v>120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91"/>
      <c r="N44" s="62"/>
      <c r="O44" s="62"/>
    </row>
    <row r="45" spans="1:15" ht="18.75">
      <c r="A45" s="72" t="s">
        <v>122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49542.52</v>
      </c>
      <c r="F45" s="93" t="s">
        <v>168</v>
      </c>
      <c r="G45" s="65"/>
      <c r="H45" s="65"/>
      <c r="L45" s="62"/>
      <c r="M45" s="191"/>
      <c r="N45" s="62"/>
      <c r="O45" s="62"/>
    </row>
    <row r="46" spans="1:15" ht="18.75" customHeight="1">
      <c r="A46" s="72" t="s">
        <v>123</v>
      </c>
      <c r="B46" s="77" t="s">
        <v>36</v>
      </c>
      <c r="C46" s="89">
        <v>3753.22</v>
      </c>
      <c r="D46" s="93" t="s">
        <v>169</v>
      </c>
      <c r="E46" s="67"/>
      <c r="G46" s="66"/>
      <c r="H46" s="66"/>
      <c r="L46" s="62"/>
      <c r="M46" s="191"/>
      <c r="N46" s="62"/>
      <c r="O46" s="62"/>
    </row>
    <row r="47" spans="1:15" ht="18.75" customHeight="1">
      <c r="A47" s="72" t="s">
        <v>124</v>
      </c>
      <c r="B47" s="77" t="s">
        <v>37</v>
      </c>
      <c r="C47" s="90">
        <v>49399.22</v>
      </c>
      <c r="D47" s="93" t="s">
        <v>167</v>
      </c>
      <c r="E47" s="67"/>
      <c r="G47" s="66"/>
      <c r="H47" s="66"/>
      <c r="L47" s="62"/>
      <c r="M47" s="191"/>
      <c r="N47" s="62"/>
      <c r="O47" s="62"/>
    </row>
    <row r="48" spans="1:15" ht="18.75" customHeight="1">
      <c r="A48" s="72" t="s">
        <v>125</v>
      </c>
      <c r="B48" s="77" t="s">
        <v>38</v>
      </c>
      <c r="C48" s="92">
        <f>IF(E45-C47&lt;0,0,E45-C47)</f>
        <v>143.29999999999563</v>
      </c>
      <c r="D48" s="79" t="s">
        <v>58</v>
      </c>
      <c r="E48" s="67"/>
      <c r="G48" s="66"/>
      <c r="H48" s="66"/>
      <c r="L48" s="62"/>
      <c r="M48" s="191"/>
      <c r="N48" s="62"/>
      <c r="O48" s="62"/>
    </row>
    <row r="49" spans="1:15" ht="18.75" customHeight="1">
      <c r="A49" s="72" t="s">
        <v>126</v>
      </c>
      <c r="B49" s="77" t="s">
        <v>39</v>
      </c>
      <c r="C49" s="92">
        <f>E45</f>
        <v>49542.52</v>
      </c>
      <c r="D49" s="79" t="s">
        <v>58</v>
      </c>
      <c r="E49" s="67"/>
      <c r="G49" s="66"/>
      <c r="H49" s="66"/>
      <c r="L49" s="62"/>
      <c r="M49" s="191"/>
      <c r="N49" s="62"/>
      <c r="O49" s="62"/>
    </row>
    <row r="50" spans="1:15" ht="18.75" customHeight="1">
      <c r="A50" s="72" t="s">
        <v>127</v>
      </c>
      <c r="B50" s="77" t="s">
        <v>40</v>
      </c>
      <c r="C50" s="92">
        <f>E45</f>
        <v>49542.52</v>
      </c>
      <c r="D50" s="79" t="s">
        <v>58</v>
      </c>
      <c r="E50" s="67"/>
      <c r="G50" s="66"/>
      <c r="H50" s="66"/>
      <c r="L50" s="62"/>
      <c r="M50" s="191"/>
      <c r="N50" s="62"/>
      <c r="O50" s="62"/>
    </row>
    <row r="51" spans="1:15" ht="18.75" customHeight="1">
      <c r="A51" s="72" t="s">
        <v>128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91"/>
      <c r="N51" s="62"/>
      <c r="O51" s="62"/>
    </row>
    <row r="52" spans="1:15" ht="29.25" customHeight="1">
      <c r="A52" s="72" t="s">
        <v>129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91"/>
      <c r="N52" s="62"/>
      <c r="O52" s="62"/>
    </row>
    <row r="53" spans="1:15" ht="18.75">
      <c r="A53" s="72" t="s">
        <v>130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94472.06</v>
      </c>
      <c r="F53" s="93" t="s">
        <v>168</v>
      </c>
      <c r="G53" s="65"/>
      <c r="H53" s="65"/>
      <c r="L53" s="62"/>
      <c r="M53" s="191"/>
      <c r="N53" s="62"/>
      <c r="O53" s="62"/>
    </row>
    <row r="54" spans="1:15" ht="18.75" customHeight="1">
      <c r="A54" s="72" t="s">
        <v>131</v>
      </c>
      <c r="B54" s="74" t="s">
        <v>36</v>
      </c>
      <c r="C54" s="97">
        <v>5889.78</v>
      </c>
      <c r="D54" s="93" t="s">
        <v>169</v>
      </c>
      <c r="E54" s="68"/>
      <c r="F54" s="88"/>
      <c r="G54" s="63"/>
      <c r="H54" s="63"/>
      <c r="L54" s="62"/>
      <c r="M54" s="191"/>
      <c r="N54" s="62"/>
      <c r="O54" s="62"/>
    </row>
    <row r="55" spans="1:15" ht="18.75" customHeight="1">
      <c r="A55" s="72" t="s">
        <v>132</v>
      </c>
      <c r="B55" s="74" t="s">
        <v>37</v>
      </c>
      <c r="C55" s="85">
        <v>93812.93</v>
      </c>
      <c r="D55" s="93" t="s">
        <v>167</v>
      </c>
      <c r="E55" s="68"/>
      <c r="G55" s="63"/>
      <c r="H55" s="63"/>
      <c r="L55" s="62"/>
      <c r="M55" s="191"/>
      <c r="N55" s="62"/>
      <c r="O55" s="62"/>
    </row>
    <row r="56" spans="1:15" ht="18.75" customHeight="1">
      <c r="A56" s="72" t="s">
        <v>133</v>
      </c>
      <c r="B56" s="74" t="s">
        <v>38</v>
      </c>
      <c r="C56" s="92">
        <f>IF(E53-C55&lt;0,0,E53-C55)</f>
        <v>659.13000000000466</v>
      </c>
      <c r="D56" s="79" t="s">
        <v>58</v>
      </c>
      <c r="E56" s="68"/>
      <c r="G56" s="63"/>
      <c r="H56" s="63"/>
      <c r="L56" s="62"/>
      <c r="M56" s="191"/>
      <c r="N56" s="62"/>
      <c r="O56" s="62"/>
    </row>
    <row r="57" spans="1:15" ht="18.75" customHeight="1">
      <c r="A57" s="72" t="s">
        <v>134</v>
      </c>
      <c r="B57" s="74" t="s">
        <v>39</v>
      </c>
      <c r="C57" s="92">
        <f>E53</f>
        <v>94472.06</v>
      </c>
      <c r="D57" s="79" t="s">
        <v>58</v>
      </c>
      <c r="E57" s="68"/>
      <c r="G57" s="63"/>
      <c r="H57" s="63"/>
      <c r="L57" s="62"/>
      <c r="M57" s="191"/>
      <c r="N57" s="62"/>
      <c r="O57" s="62"/>
    </row>
    <row r="58" spans="1:15" ht="18.75" customHeight="1">
      <c r="A58" s="72" t="s">
        <v>135</v>
      </c>
      <c r="B58" s="74" t="s">
        <v>40</v>
      </c>
      <c r="C58" s="92">
        <f>E53</f>
        <v>94472.06</v>
      </c>
      <c r="D58" s="79" t="s">
        <v>58</v>
      </c>
      <c r="E58" s="68"/>
      <c r="G58" s="63"/>
      <c r="H58" s="63"/>
      <c r="L58" s="62"/>
      <c r="M58" s="191"/>
      <c r="N58" s="62"/>
      <c r="O58" s="62"/>
    </row>
    <row r="59" spans="1:15" ht="18.75" customHeight="1">
      <c r="A59" s="72" t="s">
        <v>136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91"/>
      <c r="N59" s="62"/>
      <c r="O59" s="62"/>
    </row>
    <row r="60" spans="1:15" ht="33.75" customHeight="1">
      <c r="A60" s="72" t="s">
        <v>137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91"/>
      <c r="N60" s="62"/>
      <c r="O60" s="62"/>
    </row>
    <row r="61" spans="1:15" ht="15.75">
      <c r="A61" s="72" t="s">
        <v>138</v>
      </c>
      <c r="B61" s="76" t="s">
        <v>79</v>
      </c>
      <c r="C61" s="95" t="str">
        <f>IF(E61&gt;0,"Предоставляется",0)</f>
        <v>Предоставляется</v>
      </c>
      <c r="D61" s="95" t="s">
        <v>54</v>
      </c>
      <c r="E61" s="94">
        <v>104505.12</v>
      </c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36</v>
      </c>
      <c r="C62" s="97">
        <v>194.3</v>
      </c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37</v>
      </c>
      <c r="C63" s="85">
        <v>109315.34</v>
      </c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142</v>
      </c>
      <c r="B65" s="74" t="s">
        <v>39</v>
      </c>
      <c r="C65" s="92">
        <f>E61</f>
        <v>104505.12</v>
      </c>
      <c r="D65" s="79" t="s">
        <v>58</v>
      </c>
      <c r="E65" s="68"/>
      <c r="G65" s="63"/>
      <c r="H65" s="63"/>
    </row>
    <row r="66" spans="1:8" ht="15.75" customHeight="1">
      <c r="A66" s="72" t="s">
        <v>143</v>
      </c>
      <c r="B66" s="74" t="s">
        <v>40</v>
      </c>
      <c r="C66" s="92">
        <f>E61</f>
        <v>104505.12</v>
      </c>
      <c r="D66" s="79" t="s">
        <v>58</v>
      </c>
      <c r="E66" s="68"/>
      <c r="G66" s="63"/>
      <c r="H66" s="63"/>
    </row>
    <row r="67" spans="1:8" ht="15.75" customHeight="1">
      <c r="A67" s="72" t="s">
        <v>144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145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 t="str">
        <f>IF(E69&gt;0,"Предоставляется",0)</f>
        <v>Предоставляется</v>
      </c>
      <c r="D69" s="95" t="s">
        <v>54</v>
      </c>
      <c r="E69" s="94">
        <v>28507.9</v>
      </c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36</v>
      </c>
      <c r="C70" s="97">
        <v>2159.69</v>
      </c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37</v>
      </c>
      <c r="C71" s="85">
        <v>27712.34</v>
      </c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38</v>
      </c>
      <c r="C72" s="92">
        <f>IF(E69-C71&lt;0,0,E69-C71)</f>
        <v>795.56000000000131</v>
      </c>
      <c r="D72" s="79" t="s">
        <v>58</v>
      </c>
      <c r="E72" s="68"/>
      <c r="G72" s="63"/>
      <c r="H72" s="63"/>
    </row>
    <row r="73" spans="1:8" ht="15.75" customHeight="1">
      <c r="A73" s="72" t="s">
        <v>150</v>
      </c>
      <c r="B73" s="74" t="s">
        <v>39</v>
      </c>
      <c r="C73" s="92">
        <f>E69</f>
        <v>28507.9</v>
      </c>
      <c r="D73" s="79" t="s">
        <v>58</v>
      </c>
      <c r="E73" s="68"/>
      <c r="G73" s="63"/>
      <c r="H73" s="63"/>
    </row>
    <row r="74" spans="1:8" ht="15.75" customHeight="1">
      <c r="A74" s="72" t="s">
        <v>151</v>
      </c>
      <c r="B74" s="74" t="s">
        <v>40</v>
      </c>
      <c r="C74" s="92">
        <f>E69</f>
        <v>28507.9</v>
      </c>
      <c r="D74" s="79" t="s">
        <v>58</v>
      </c>
      <c r="E74" s="68"/>
      <c r="G74" s="63"/>
      <c r="H74" s="63"/>
    </row>
    <row r="75" spans="1:8" ht="15.75" customHeight="1">
      <c r="A75" s="72" t="s">
        <v>152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153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>
        <v>0</v>
      </c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36</v>
      </c>
      <c r="C78" s="97">
        <v>0</v>
      </c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37</v>
      </c>
      <c r="C79" s="85">
        <v>0</v>
      </c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158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159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160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161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44</v>
      </c>
      <c r="C2" s="104">
        <v>0</v>
      </c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45</v>
      </c>
      <c r="C3" s="104">
        <v>1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46</v>
      </c>
      <c r="C4" s="105">
        <v>38921.599999999999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2022-03-30T02:33:45Z</dcterms:modified>
</cp:coreProperties>
</file>