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7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22" i="1" l="1"/>
  <c r="A118" i="1"/>
  <c r="A119" i="1"/>
  <c r="A123" i="1"/>
  <c r="D118" i="1"/>
  <c r="A120" i="1"/>
  <c r="A125" i="1"/>
  <c r="F118" i="1"/>
  <c r="A121" i="1"/>
  <c r="A141" i="1"/>
  <c r="F134" i="1"/>
  <c r="A98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6" i="1"/>
  <c r="F172" i="1"/>
  <c r="H168" i="1"/>
  <c r="F168" i="1"/>
  <c r="F166" i="1"/>
  <c r="H172" i="1"/>
  <c r="H166" i="1"/>
  <c r="H178" i="1"/>
  <c r="F181" i="1"/>
  <c r="F182" i="1"/>
  <c r="F187" i="1"/>
  <c r="H182" i="1"/>
  <c r="H186" i="1"/>
  <c r="F179" i="1"/>
  <c r="H187" i="1"/>
  <c r="H179" i="1"/>
  <c r="H181" i="1"/>
  <c r="H167" i="1"/>
  <c r="F175" i="1"/>
  <c r="F173" i="1"/>
  <c r="F171" i="1"/>
  <c r="F178" i="1"/>
  <c r="F165" i="1"/>
  <c r="H177" i="1"/>
  <c r="H169" i="1"/>
  <c r="F167" i="1"/>
  <c r="H175" i="1"/>
  <c r="H176" i="1"/>
  <c r="H173" i="1"/>
  <c r="F177" i="1"/>
  <c r="H180" i="1"/>
  <c r="H164" i="1"/>
  <c r="H171" i="1"/>
  <c r="F180" i="1"/>
  <c r="H184" i="1"/>
  <c r="F169" i="1"/>
  <c r="F185" i="1"/>
  <c r="F170" i="1"/>
  <c r="H165" i="1"/>
  <c r="F164" i="1"/>
  <c r="H170" i="1"/>
  <c r="F176" i="1"/>
  <c r="F184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<sst xmlns="http://schemas.openxmlformats.org/spreadsheetml/2006/main" count="552" uniqueCount="203">
  <si>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</si>
  <si>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</si>
  <si>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</si>
  <si>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</si>
  <si>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</si>
  <si>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</si>
  <si>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</si>
  <si>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</si>
  <si>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</si>
  <si>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</si>
  <si>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</si>
  <si>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</si>
  <si>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</si>
  <si>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</si>
  <si>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</si>
  <si>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</si>
  <si>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</si>
  <si>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</si>
  <si>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</si>
  <si>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</si>
  <si>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</si>
  <si>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</si>
  <si>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</si>
  <si>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</si>
  <si>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</si>
  <si>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</si>
  <si>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</si>
  <si>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</si>
  <si>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</si>
  <si>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</si>
  <si>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</si>
  <si>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</si>
  <si>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</si>
  <si>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</si>
  <si>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</si>
  <si>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</si>
  <si>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</si>
  <si>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</si>
  <si>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</si>
  <si>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</si>
  <si>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</si>
  <si>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</si>
  <si>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</si>
  <si>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</si>
  <si>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</si>
  <si>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</si>
  <si>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</si>
  <si>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</si>
  <si>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</si>
  <si>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</si>
  <si>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</si>
  <si>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</si>
  <si>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</si>
  <si>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</si>
  <si>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</si>
  <si>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</si>
  <si>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</si>
  <si>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</si>
  <si>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</si>
  <si>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</si>
  <si>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</si>
  <si>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</si>
  <si>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</si>
  <si>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</si>
  <si>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</si>
  <si>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</si>
  <si>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</si>
  <si>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</si>
  <si>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</si>
  <si>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</si>
  <si>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</si>
  <si>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</si>
  <si>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</si>
  <si>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</si>
  <si>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</si>
  <si>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</si>
  <si>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</si>
  <si>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</si>
  <si>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</si>
  <si>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</si>
  <si>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</si>
  <si>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</si>
  <si>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</si>
  <si>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</si>
  <si>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</si>
  <si>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</si>
  <si>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</si>
  <si>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</si>
  <si>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</si>
  <si>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</si>
  <si>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</si>
  <si>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</si>
  <si>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</si>
  <si>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</si>
  <si>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</si>
  <si>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</si>
  <si>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</si>
  <si>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</si>
  <si>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</si>
  <si>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</si>
  <si>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</si>
  <si>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</si>
  <si>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</si>
  <si>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</si>
  <si>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</si>
  <si>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</si>
  <si>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</si>
  <si>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</si>
  <si>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</si>
  <si>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</si>
  <si>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</si>
  <si>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</si>
  <si>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</si>
  <si>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</si>
  <si>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</si>
  <si>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</si>
  <si>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</si>
  <si>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</si>
  <si>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</si>
  <si>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</si>
  <si>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</si>
  <si>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</si>
  <si>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</si>
  <si>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</si>
  <si>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</si>
  <si>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</si>
  <si>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</si>
  <si>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</si>
  <si>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</si>
  <si>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</si>
  <si>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</si>
  <si>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</si>
  <si>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</si>
  <si>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</si>
  <si>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</si>
  <si>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</si>
  <si>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</si>
  <si>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</si>
  <si>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</si>
  <si>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</si>
  <si>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</si>
  <si>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</si>
  <si>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</si>
  <si>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</si>
  <si>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</si>
  <si>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</si>
  <si>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</si>
  <si>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</si>
  <si>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</si>
  <si>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</si>
  <si>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</si>
  <si>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</si>
  <si>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</si>
  <si>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</si>
  <si>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</si>
  <si>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</si>
  <si>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</si>
  <si>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</si>
  <si>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</si>
  <si>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</si>
  <si>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</si>
  <si>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</si>
  <si>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</si>
  <si>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</si>
  <si>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</si>
  <si>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</si>
  <si>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</si>
  <si>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</si>
  <si>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</si>
  <si>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</si>
  <si>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</si>
  <si>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</si>
  <si>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</si>
  <si>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</si>
  <si>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</si>
  <si>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</si>
  <si>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</si>
  <si>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Отчет об исполнении договора управления многоквартирного дома 
Юбилейный, 119</t>
  </si>
  <si>
    <t>Отчет об исполнении договора управления многоквартирного дома 
Юбилейный, 119 в части текущего ремонта</t>
  </si>
  <si>
    <t>Техническое освидетельствование лифтов.</t>
  </si>
  <si>
    <t>площадь дома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</si>
  <si>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</si>
  <si>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</si>
  <si>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</si>
  <si>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</si>
  <si>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</si>
  <si>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 xml:space="preserve">  -  проведение косметического ремонта в подъездах</t>
  </si>
  <si>
    <t xml:space="preserve">  -  замена деревянных дверей в подъездах </t>
  </si>
  <si>
    <t xml:space="preserve">  -  установка пандуса 1 подъезд.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</si>
  <si>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</si>
  <si>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</si>
  <si>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</si>
  <si>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Перерасход (+) или экономия 
(-) средств в 2020 году (руб.)</t>
  </si>
  <si>
    <t>Начислено за  текущий ремонт в 2021 году (руб.):</t>
  </si>
  <si>
    <t>Ремонт прибора учета тепловой энергии.</t>
  </si>
  <si>
    <t>разово</t>
  </si>
  <si>
    <t>Установка комплекта аварийного освещения кабин пассажирских лифтов.</t>
  </si>
  <si>
    <t>АВР 1/21 от 07.06.2021, Решение</t>
  </si>
  <si>
    <t>АВР 2/21 от 24.05.2021, Решение, счет №139 от 14.05.2021</t>
  </si>
  <si>
    <t>Замена каретки дверей шахты лифта (в сборе 2 шт., 2ой подъезд).</t>
  </si>
  <si>
    <t>АВР 3/21 от 10.12.2021, Решение, счет №213 от 09.12.2021</t>
  </si>
  <si>
    <t>Коммунальные ресурсы на содержание общего имущества</t>
  </si>
  <si>
    <t>АВР 4/21 от 31.ю12.2021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</si>
</sst>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38" fillId="0" borderId="0" xfId="0" applyNumberFormat="1" applyFont="1"/>
    <xf numFmtId="4" fontId="28" fillId="0" borderId="0" xfId="6" applyNumberFormat="1" applyFont="1" applyFill="1" applyBorder="1" applyAlignment="1"/>
    <xf numFmtId="0" fontId="28" fillId="0" borderId="0" xfId="6" applyFont="1" applyFill="1" applyBorder="1" applyAlignment="1">
      <alignment horizontal="center"/>
    </xf>
    <xf numFmtId="0" fontId="28" fillId="0" borderId="0" xfId="6" applyFont="1" applyFill="1" applyBorder="1" applyAlignment="1">
      <alignment horizontal="center" vertical="center"/>
    </xf>
    <xf numFmtId="0" fontId="28" fillId="0" borderId="0" xfId="6" applyFont="1" applyFill="1" applyBorder="1" applyAlignmen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2" fillId="0" borderId="0" xfId="6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4" fontId="21" fillId="0" borderId="0" xfId="0" applyNumberFormat="1" applyFont="1" applyFill="1"/>
    <xf numFmtId="4" fontId="20" fillId="0" borderId="0" xfId="0" applyNumberFormat="1" applyFont="1" applyFill="1" applyBorder="1"/>
    <xf numFmtId="0" fontId="21" fillId="0" borderId="0" xfId="0" applyFont="1" applyBorder="1" applyAlignment="1">
      <alignment wrapText="1"/>
    </xf>
    <xf numFmtId="0" fontId="11" fillId="0" borderId="0" xfId="2" applyFont="1" applyFill="1" applyBorder="1" applyAlignment="1"/>
    <xf numFmtId="0" fontId="10" fillId="0" borderId="0" xfId="11" applyFont="1" applyFill="1" applyBorder="1" applyAlignment="1">
      <alignment horizontal="center"/>
    </xf>
    <xf numFmtId="0" fontId="10" fillId="0" borderId="0" xfId="11" applyFill="1" applyBorder="1" applyAlignment="1">
      <alignment horizontal="center"/>
    </xf>
    <xf numFmtId="4" fontId="10" fillId="0" borderId="0" xfId="11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11" applyFont="1" applyFill="1" applyBorder="1" applyAlignment="1">
      <alignment wrapText="1"/>
    </xf>
    <xf numFmtId="0" fontId="7" fillId="0" borderId="0" xfId="11" applyFont="1" applyFill="1" applyBorder="1"/>
    <xf numFmtId="0" fontId="0" fillId="0" borderId="0" xfId="0" applyFill="1" applyBorder="1" applyAlignment="1"/>
    <xf numFmtId="0" fontId="9" fillId="0" borderId="0" xfId="11" applyFont="1" applyFill="1" applyBorder="1" applyAlignment="1">
      <alignment horizontal="center"/>
    </xf>
    <xf numFmtId="0" fontId="6" fillId="0" borderId="0" xfId="11" applyFont="1" applyFill="1" applyBorder="1"/>
    <xf numFmtId="0" fontId="28" fillId="0" borderId="0" xfId="10" applyFont="1" applyFill="1" applyBorder="1" applyAlignment="1"/>
    <xf numFmtId="0" fontId="8" fillId="0" borderId="0" xfId="10" applyFont="1" applyFill="1" applyBorder="1" applyAlignment="1">
      <alignment horizontal="center"/>
    </xf>
    <xf numFmtId="0" fontId="10" fillId="0" borderId="0" xfId="10" applyFill="1" applyBorder="1" applyAlignment="1">
      <alignment horizontal="center"/>
    </xf>
    <xf numFmtId="4" fontId="10" fillId="0" borderId="0" xfId="10" applyNumberFormat="1" applyFill="1" applyBorder="1" applyAlignment="1"/>
    <xf numFmtId="0" fontId="28" fillId="0" borderId="0" xfId="10" applyFont="1" applyFill="1" applyBorder="1"/>
    <xf numFmtId="0" fontId="5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4" fillId="0" borderId="0" xfId="11" applyFont="1" applyFill="1" applyBorder="1" applyAlignment="1">
      <alignment horizontal="center"/>
    </xf>
    <xf numFmtId="0" fontId="3" fillId="0" borderId="0" xfId="11" applyFont="1" applyFill="1" applyBorder="1"/>
    <xf numFmtId="0" fontId="4" fillId="0" borderId="0" xfId="11" applyFont="1" applyFill="1" applyBorder="1" applyAlignment="1">
      <alignment wrapText="1"/>
    </xf>
    <xf numFmtId="0" fontId="2" fillId="0" borderId="0" xfId="11" applyFont="1" applyFill="1" applyBorder="1"/>
    <xf numFmtId="0" fontId="1" fillId="0" borderId="0" xfId="11" applyFont="1" applyFill="1" applyBorder="1" applyAlignment="1">
      <alignment wrapText="1"/>
    </xf>
    <xf numFmtId="0" fontId="1" fillId="0" borderId="0" xfId="11" applyFont="1" applyFill="1" applyBorder="1" applyAlignment="1">
      <alignment horizontal="center"/>
    </xf>
    <xf numFmtId="0" fontId="1" fillId="0" borderId="0" xfId="11" applyFont="1" applyFill="1" applyBorder="1"/>
    <xf numFmtId="4" fontId="0" fillId="0" borderId="0" xfId="0" applyNumberFormat="1" applyBorder="1"/>
    <xf numFmtId="0" fontId="32" fillId="0" borderId="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6" xfId="6"/>
    <cellStyle name="Обычный 6 2" xfId="16"/>
    <cellStyle name="Обычный 6 3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84" sqref="N8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9" t="s">
        <v>177</v>
      </c>
      <c r="B2" s="179"/>
      <c r="C2" s="179"/>
      <c r="D2" s="179"/>
      <c r="E2" s="179"/>
      <c r="F2" s="179"/>
      <c r="G2" s="179"/>
      <c r="H2" s="179"/>
      <c r="I2" s="179"/>
      <c r="J2" s="17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44197</v>
      </c>
      <c r="K4" s="108"/>
      <c r="L4" s="108"/>
      <c r="M4" s="108"/>
      <c r="N4" s="108"/>
    </row>
    <row r="5" spans="1:18">
      <c r="A5" s="1" t="s">
        <v>1</v>
      </c>
      <c r="E5" s="116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8"/>
      <c r="L8" s="180"/>
      <c r="M8" s="108"/>
      <c r="N8" s="108"/>
      <c r="O8" s="69" t="s">
        <v>81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8"/>
      <c r="L9" s="180"/>
      <c r="M9" s="108"/>
      <c r="N9" s="108"/>
      <c r="O9" s="69" t="s">
        <v>82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352170.95</v>
      </c>
      <c r="K10" s="108"/>
      <c r="L10" s="180"/>
      <c r="M10" s="108"/>
      <c r="N10" s="108"/>
      <c r="O10" s="69" t="s">
        <v>83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1310284.108</v>
      </c>
      <c r="K11" s="108"/>
      <c r="L11" s="180"/>
      <c r="M11" s="108"/>
      <c r="N11" s="108"/>
      <c r="O11" s="69" t="s">
        <v>84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1014502.42</v>
      </c>
      <c r="K12" s="108"/>
      <c r="L12" s="180"/>
      <c r="M12" s="108"/>
      <c r="N12" s="108"/>
      <c r="O12" s="69" t="s">
        <v>85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295781.68800000002</v>
      </c>
      <c r="K13" s="108"/>
      <c r="L13" s="180"/>
      <c r="M13" s="108"/>
      <c r="N13" s="108"/>
      <c r="O13" s="69" t="s">
        <v>86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0</v>
      </c>
      <c r="K14" s="108"/>
      <c r="L14" s="180"/>
      <c r="M14" s="108"/>
      <c r="N14" s="108"/>
      <c r="O14" s="69" t="s">
        <v>87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1326536.75</v>
      </c>
      <c r="K15" s="108"/>
      <c r="L15" s="180"/>
      <c r="M15" s="108"/>
      <c r="N15" s="108"/>
      <c r="O15" s="69" t="s">
        <v>88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1326536.75</v>
      </c>
      <c r="K16" s="108"/>
      <c r="L16" s="180"/>
      <c r="M16" s="108"/>
      <c r="N16" s="108"/>
      <c r="O16" s="69" t="s">
        <v>89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8"/>
      <c r="L17" s="180"/>
      <c r="M17" s="108"/>
      <c r="N17" s="108"/>
      <c r="O17" s="69" t="s">
        <v>90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8"/>
      <c r="L18" s="180"/>
      <c r="M18" s="108"/>
      <c r="N18" s="108"/>
      <c r="O18" s="69" t="s">
        <v>91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8"/>
      <c r="L19" s="180"/>
      <c r="M19" s="108"/>
      <c r="N19" s="108"/>
      <c r="O19" s="69" t="s">
        <v>92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8"/>
      <c r="L20" s="180"/>
      <c r="M20" s="108"/>
      <c r="N20" s="108"/>
      <c r="O20" s="69" t="s">
        <v>93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1326536.75</v>
      </c>
      <c r="K21" s="108"/>
      <c r="L21" s="180"/>
      <c r="M21" s="108"/>
      <c r="N21" s="108"/>
      <c r="O21" s="69" t="s">
        <v>94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8"/>
      <c r="L22" s="180"/>
      <c r="M22" s="108"/>
      <c r="N22" s="108"/>
      <c r="O22" s="69" t="s">
        <v>95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8"/>
      <c r="L23" s="180"/>
      <c r="M23" s="108"/>
      <c r="N23" s="108"/>
      <c r="O23" s="69" t="s">
        <v>96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335918.30799999996</v>
      </c>
      <c r="K24" s="108"/>
      <c r="L24" s="180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8"/>
      <c r="L27" s="18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58">
        <f>VLOOKUP(A28,ПТО!$A$39:$D$53,2,FALSE)</f>
        <v>345420.96</v>
      </c>
      <c r="G28" s="158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8"/>
      <c r="L28" s="18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7" t="str">
        <f>ПТО!A40</f>
        <v>Работы по содержанию лифта (лифтов)</v>
      </c>
      <c r="B29" s="157"/>
      <c r="C29" s="157"/>
      <c r="D29" s="157"/>
      <c r="E29" s="157"/>
      <c r="F29" s="158">
        <f>VLOOKUP(A29,ПТО!$A$39:$D$53,2,FALSE)</f>
        <v>108294.12</v>
      </c>
      <c r="G29" s="158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8"/>
      <c r="L29" s="181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58">
        <f>VLOOKUP(A30,ПТО!$A$39:$D$53,2,FALSE)</f>
        <v>93357</v>
      </c>
      <c r="G30" s="158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8"/>
      <c r="L30" s="18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58">
        <f>VLOOKUP(A31,ПТО!$A$39:$D$53,2,FALSE)</f>
        <v>73440.84</v>
      </c>
      <c r="G31" s="158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8"/>
      <c r="L31" s="18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8"/>
      <c r="L32" s="181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58">
        <f>VLOOKUP(A33,ПТО!$A$39:$D$53,2,FALSE)</f>
        <v>21783.360000000001</v>
      </c>
      <c r="G33" s="158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8"/>
      <c r="L33" s="18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58">
        <f>VLOOKUP(A34,ПТО!$A$39:$D$53,2,FALSE)</f>
        <v>109538.88</v>
      </c>
      <c r="G34" s="158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8"/>
      <c r="L34" s="18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7"/>
      <c r="C35" s="157"/>
      <c r="D35" s="157"/>
      <c r="E35" s="157"/>
      <c r="F35" s="158">
        <f>VLOOKUP(A35,ПТО!$A$39:$D$53,2,FALSE)</f>
        <v>248329.68</v>
      </c>
      <c r="G35" s="158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8"/>
      <c r="L35" s="18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7" t="str">
        <f>ПТО!A47</f>
        <v>Коммунальные ресурсы на содержание общего имущества</v>
      </c>
      <c r="B36" s="157"/>
      <c r="C36" s="157"/>
      <c r="D36" s="157"/>
      <c r="E36" s="157"/>
      <c r="F36" s="158">
        <f>VLOOKUP(A36,ПТО!$A$39:$D$53,2,FALSE)</f>
        <v>102706.49340000001</v>
      </c>
      <c r="G36" s="158"/>
      <c r="H36" s="42" t="str">
        <f>VLOOKUP(A36,ПТО!$A$39:$D$53,3,FALSE)</f>
        <v>Ежемесячно</v>
      </c>
      <c r="I36" s="159">
        <f>VLOOKUP(A36,ПТО!$A$39:$D$53,4,FALSE)</f>
        <v>12</v>
      </c>
      <c r="J36" s="159"/>
      <c r="K36" s="108"/>
      <c r="L36" s="181"/>
      <c r="M36" s="115"/>
      <c r="N36" s="108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8"/>
      <c r="L37" s="181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8"/>
      <c r="L38" s="181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8"/>
      <c r="L39" s="181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8"/>
      <c r="L40" s="181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8"/>
      <c r="L41" s="181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8"/>
      <c r="L42" s="181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57" t="str">
        <f>ПТО!A2</f>
        <v>Техническое освидетельствование лифтов.</v>
      </c>
      <c r="B43" s="157"/>
      <c r="C43" s="157"/>
      <c r="D43" s="157"/>
      <c r="E43" s="157"/>
      <c r="F43" s="158">
        <f>VLOOKUP(A43,ПТО!$A$2:$D$31,4,FALSE)</f>
        <v>15000</v>
      </c>
      <c r="G43" s="158"/>
      <c r="H43" s="19" t="str">
        <f>VLOOKUP(A43,ПТО!$A$2:$D$31,2,FALSE)</f>
        <v>ежегодно</v>
      </c>
      <c r="I43" s="159">
        <f>VLOOKUP(A43,ПТО!$A$2:$D$31,3,FALSE)</f>
        <v>2</v>
      </c>
      <c r="J43" s="159"/>
      <c r="K43" s="108"/>
      <c r="L43" s="181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7" t="str">
        <f>ПТО!A3</f>
        <v>Установка комплекта аварийного освещения кабин пассажирских лифтов.</v>
      </c>
      <c r="B44" s="157"/>
      <c r="C44" s="157"/>
      <c r="D44" s="157"/>
      <c r="E44" s="157"/>
      <c r="F44" s="158">
        <f>VLOOKUP(A44,ПТО!$A$2:$D$31,4,FALSE)</f>
        <v>2758</v>
      </c>
      <c r="G44" s="158"/>
      <c r="H44" s="25" t="str">
        <f>VLOOKUP(A44,ПТО!$A$2:$D$31,2,FALSE)</f>
        <v>разово</v>
      </c>
      <c r="I44" s="159">
        <f>VLOOKUP(A44,ПТО!$A$2:$D$31,3,FALSE)</f>
        <v>1</v>
      </c>
      <c r="J44" s="159"/>
      <c r="K44" s="108"/>
      <c r="L44" s="181"/>
      <c r="M44" s="115"/>
      <c r="N44" s="108"/>
      <c r="O44" s="23" t="str">
        <f t="shared" si="1"/>
        <v>Установка комплекта аварийного освещения кабин пассажирских лифтов.</v>
      </c>
      <c r="R44" s="22" t="s">
        <v>72</v>
      </c>
    </row>
    <row r="45" spans="1:18" ht="51" customHeight="1" outlineLevel="1">
      <c r="A45" s="157" t="str">
        <f>ПТО!A4</f>
        <v>Ремонт прибора учета тепловой энергии.</v>
      </c>
      <c r="B45" s="157"/>
      <c r="C45" s="157"/>
      <c r="D45" s="157"/>
      <c r="E45" s="157"/>
      <c r="F45" s="158">
        <f>VLOOKUP(A45,ПТО!$A$2:$D$31,4,FALSE)</f>
        <v>6530</v>
      </c>
      <c r="G45" s="158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8"/>
      <c r="L45" s="181"/>
      <c r="M45" s="115"/>
      <c r="N45" s="108"/>
      <c r="O45" s="23" t="str">
        <f t="shared" si="1"/>
        <v>Ремонт прибора учета тепловой энергии.</v>
      </c>
      <c r="R45" s="22" t="s">
        <v>72</v>
      </c>
    </row>
    <row r="46" spans="1:18" ht="51" customHeight="1" outlineLevel="1">
      <c r="A46" s="157" t="str">
        <f>ПТО!A5</f>
        <v>Замена каретки дверей шахты лифта (в сборе 2 шт., 2ой подъезд).</v>
      </c>
      <c r="B46" s="157"/>
      <c r="C46" s="157"/>
      <c r="D46" s="157"/>
      <c r="E46" s="157"/>
      <c r="F46" s="158">
        <f>VLOOKUP(A46,ПТО!$A$2:$D$31,4,FALSE)</f>
        <v>24758</v>
      </c>
      <c r="G46" s="158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8"/>
      <c r="L46" s="181"/>
      <c r="M46" s="115"/>
      <c r="N46" s="108"/>
      <c r="O46" s="23" t="str">
        <f t="shared" si="1"/>
        <v>Замена каретки дверей шахты лифта (в сборе 2 шт., 2ой подъезд).</v>
      </c>
      <c r="R46" s="22" t="s">
        <v>72</v>
      </c>
    </row>
    <row r="47" spans="1:18" ht="51" hidden="1" customHeight="1" outlineLevel="1">
      <c r="A47" s="157">
        <f>ПТО!A6</f>
        <v>0</v>
      </c>
      <c r="B47" s="157"/>
      <c r="C47" s="157"/>
      <c r="D47" s="157"/>
      <c r="E47" s="157"/>
      <c r="F47" s="158" t="e">
        <f>VLOOKUP(A47,ПТО!$A$2:$D$31,4,FALSE)</f>
        <v>#N/A</v>
      </c>
      <c r="G47" s="158"/>
      <c r="H47" s="25" t="e">
        <f>VLOOKUP(A47,ПТО!$A$2:$D$31,2,FALSE)</f>
        <v>#N/A</v>
      </c>
      <c r="I47" s="159" t="e">
        <f>VLOOKUP(A47,ПТО!$A$2:$D$31,3,FALSE)</f>
        <v>#N/A</v>
      </c>
      <c r="J47" s="159"/>
      <c r="K47" s="108"/>
      <c r="L47" s="181"/>
      <c r="M47" s="115"/>
      <c r="N47" s="108"/>
      <c r="O47" s="23">
        <f t="shared" si="1"/>
        <v>0</v>
      </c>
      <c r="R47" s="22" t="s">
        <v>72</v>
      </c>
    </row>
    <row r="48" spans="1:18" ht="51" hidden="1" customHeight="1" outlineLevel="1">
      <c r="A48" s="157">
        <f>ПТО!A7</f>
        <v>0</v>
      </c>
      <c r="B48" s="157"/>
      <c r="C48" s="157"/>
      <c r="D48" s="157"/>
      <c r="E48" s="157"/>
      <c r="F48" s="158" t="e">
        <f>VLOOKUP(A48,ПТО!$A$2:$D$31,4,FALSE)</f>
        <v>#N/A</v>
      </c>
      <c r="G48" s="158"/>
      <c r="H48" s="25" t="e">
        <f>VLOOKUP(A48,ПТО!$A$2:$D$31,2,FALSE)</f>
        <v>#N/A</v>
      </c>
      <c r="I48" s="159" t="e">
        <f>VLOOKUP(A48,ПТО!$A$2:$D$31,3,FALSE)</f>
        <v>#N/A</v>
      </c>
      <c r="J48" s="159"/>
      <c r="K48" s="108"/>
      <c r="L48" s="181"/>
      <c r="M48" s="115"/>
      <c r="N48" s="108"/>
      <c r="O48" s="23">
        <f t="shared" si="1"/>
        <v>0</v>
      </c>
      <c r="R48" s="22" t="s">
        <v>72</v>
      </c>
    </row>
    <row r="49" spans="1:18" ht="51" hidden="1" customHeight="1" outlineLevel="1">
      <c r="A49" s="157">
        <f>ПТО!A8</f>
        <v>0</v>
      </c>
      <c r="B49" s="157"/>
      <c r="C49" s="157"/>
      <c r="D49" s="157"/>
      <c r="E49" s="157"/>
      <c r="F49" s="158" t="e">
        <f>VLOOKUP(A49,ПТО!$A$2:$D$31,4,FALSE)</f>
        <v>#N/A</v>
      </c>
      <c r="G49" s="158"/>
      <c r="H49" s="25" t="e">
        <f>VLOOKUP(A49,ПТО!$A$2:$D$31,2,FALSE)</f>
        <v>#N/A</v>
      </c>
      <c r="I49" s="159" t="e">
        <f>VLOOKUP(A49,ПТО!$A$2:$D$31,3,FALSE)</f>
        <v>#N/A</v>
      </c>
      <c r="J49" s="159"/>
      <c r="K49" s="108"/>
      <c r="L49" s="181"/>
      <c r="M49" s="115"/>
      <c r="N49" s="108"/>
      <c r="O49" s="23">
        <f t="shared" si="1"/>
        <v>0</v>
      </c>
      <c r="R49" s="22" t="s">
        <v>72</v>
      </c>
    </row>
    <row r="50" spans="1:18" ht="51" hidden="1" customHeight="1" outlineLevel="1">
      <c r="A50" s="157">
        <f>ПТО!A9</f>
        <v>0</v>
      </c>
      <c r="B50" s="157"/>
      <c r="C50" s="157"/>
      <c r="D50" s="157"/>
      <c r="E50" s="157"/>
      <c r="F50" s="158" t="e">
        <f>VLOOKUP(A50,ПТО!$A$2:$D$31,4,FALSE)</f>
        <v>#N/A</v>
      </c>
      <c r="G50" s="158"/>
      <c r="H50" s="25" t="e">
        <f>VLOOKUP(A50,ПТО!$A$2:$D$31,2,FALSE)</f>
        <v>#N/A</v>
      </c>
      <c r="I50" s="159" t="e">
        <f>VLOOKUP(A50,ПТО!$A$2:$D$31,3,FALSE)</f>
        <v>#N/A</v>
      </c>
      <c r="J50" s="159"/>
      <c r="K50" s="108"/>
      <c r="L50" s="181"/>
      <c r="M50" s="115"/>
      <c r="N50" s="108"/>
      <c r="O50" s="23">
        <f t="shared" si="1"/>
        <v>0</v>
      </c>
      <c r="R50" s="22" t="s">
        <v>72</v>
      </c>
    </row>
    <row r="51" spans="1:18" ht="51" hidden="1" customHeight="1" outlineLevel="1">
      <c r="A51" s="157">
        <f>ПТО!A10</f>
        <v>0</v>
      </c>
      <c r="B51" s="157"/>
      <c r="C51" s="157"/>
      <c r="D51" s="157"/>
      <c r="E51" s="157"/>
      <c r="F51" s="158" t="e">
        <f>VLOOKUP(A51,ПТО!$A$2:$D$31,4,FALSE)</f>
        <v>#N/A</v>
      </c>
      <c r="G51" s="158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8"/>
      <c r="L51" s="181"/>
      <c r="M51" s="115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8"/>
      <c r="L52" s="181"/>
      <c r="M52" s="115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8"/>
      <c r="L53" s="181"/>
      <c r="M53" s="115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8"/>
      <c r="L54" s="181"/>
      <c r="M54" s="115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8"/>
      <c r="L55" s="181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8"/>
      <c r="L56" s="181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8"/>
      <c r="L57" s="181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8"/>
      <c r="L58" s="181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8"/>
      <c r="L59" s="181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8"/>
      <c r="L60" s="181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8"/>
      <c r="L61" s="181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8"/>
      <c r="L62" s="181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8"/>
      <c r="L63" s="181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8"/>
      <c r="L64" s="181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8"/>
      <c r="L65" s="181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8"/>
      <c r="L66" s="181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8"/>
      <c r="L67" s="181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8"/>
      <c r="L68" s="181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8"/>
      <c r="L69" s="181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8"/>
      <c r="L70" s="181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8"/>
      <c r="L72" s="181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5" t="s">
        <v>27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8"/>
      <c r="L75" s="164"/>
      <c r="M75" s="108"/>
      <c r="N75" s="108"/>
      <c r="O75" s="69" t="s">
        <v>98</v>
      </c>
    </row>
    <row r="76" spans="1:16384" ht="18.75" customHeight="1" outlineLevel="1">
      <c r="A76" s="175" t="s">
        <v>28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8"/>
      <c r="L76" s="164"/>
      <c r="M76" s="108"/>
      <c r="N76" s="108"/>
      <c r="O76" s="69" t="s">
        <v>99</v>
      </c>
    </row>
    <row r="77" spans="1:16384" ht="21.75" customHeight="1" outlineLevel="1">
      <c r="A77" s="175" t="s">
        <v>29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8"/>
      <c r="L77" s="164"/>
      <c r="M77" s="108"/>
      <c r="N77" s="108"/>
      <c r="O77" s="69" t="s">
        <v>100</v>
      </c>
    </row>
    <row r="78" spans="1:16384" ht="18.75" customHeight="1" outlineLevel="1">
      <c r="A78" s="175" t="s">
        <v>30</v>
      </c>
      <c r="B78" s="175"/>
      <c r="C78" s="175"/>
      <c r="D78" s="175"/>
      <c r="E78" s="175"/>
      <c r="F78" s="175"/>
      <c r="G78" s="175"/>
      <c r="H78" s="175"/>
      <c r="I78" s="175"/>
      <c r="J78" s="96">
        <f>VLOOKUP(O78,АО,3,FALSE)</f>
        <v>0</v>
      </c>
      <c r="K78" s="108"/>
      <c r="L78" s="164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6">
        <f t="shared" ref="J81:J90" si="2">VLOOKUP(O81,АО,3,FALSE)</f>
        <v>0</v>
      </c>
      <c r="K81" s="108"/>
      <c r="L81" s="182"/>
      <c r="M81" s="108"/>
      <c r="N81" s="108"/>
      <c r="O81" s="69" t="s">
        <v>102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6">
        <f t="shared" si="2"/>
        <v>0</v>
      </c>
      <c r="K82" s="108"/>
      <c r="L82" s="182"/>
      <c r="M82" s="108"/>
      <c r="N82" s="108"/>
      <c r="O82" s="69" t="s">
        <v>103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6">
        <f t="shared" si="2"/>
        <v>105375.56</v>
      </c>
      <c r="K83" s="108"/>
      <c r="L83" s="182"/>
      <c r="M83" s="108"/>
      <c r="N83" s="108"/>
      <c r="O83" s="69" t="s">
        <v>104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6">
        <f t="shared" si="2"/>
        <v>0</v>
      </c>
      <c r="K84" s="108"/>
      <c r="L84" s="182"/>
      <c r="M84" s="108"/>
      <c r="N84" s="108"/>
      <c r="O84" s="69" t="s">
        <v>105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6">
        <f t="shared" si="2"/>
        <v>0</v>
      </c>
      <c r="K85" s="108"/>
      <c r="L85" s="182"/>
      <c r="M85" s="108"/>
      <c r="N85" s="108"/>
      <c r="O85" s="69" t="s">
        <v>106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6">
        <f t="shared" si="2"/>
        <v>91277.28</v>
      </c>
      <c r="K86" s="108"/>
      <c r="L86" s="182"/>
      <c r="M86" s="108"/>
      <c r="N86" s="108"/>
      <c r="O86" s="69" t="s">
        <v>107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8"/>
      <c r="L87" s="182"/>
      <c r="M87" s="108"/>
      <c r="N87" s="108"/>
      <c r="O87" s="69" t="s">
        <v>108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8"/>
      <c r="L88" s="182"/>
      <c r="M88" s="108"/>
      <c r="N88" s="108"/>
      <c r="O88" s="69" t="s">
        <v>109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8"/>
      <c r="L89" s="182"/>
      <c r="M89" s="108"/>
      <c r="N89" s="108"/>
      <c r="O89" s="69" t="s">
        <v>110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6">
        <f t="shared" si="2"/>
        <v>0</v>
      </c>
      <c r="K90" s="108"/>
      <c r="L90" s="182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6" t="s">
        <v>48</v>
      </c>
      <c r="B93" s="166"/>
      <c r="C93" s="166"/>
      <c r="D93" s="169" t="s">
        <v>49</v>
      </c>
      <c r="E93" s="169"/>
      <c r="F93" s="10" t="s">
        <v>50</v>
      </c>
      <c r="G93" s="166" t="s">
        <v>51</v>
      </c>
      <c r="H93" s="166"/>
      <c r="I93" s="166"/>
      <c r="J93" s="166"/>
      <c r="K93" s="108"/>
      <c r="L93" s="108"/>
      <c r="M93" s="108"/>
      <c r="N93" s="108"/>
    </row>
    <row r="94" spans="1:15" outlineLevel="1">
      <c r="A94" s="170" t="str">
        <f>IF(VLOOKUP("эл",АО,3,FALSE)&gt;0,"Электроснабжение",0)</f>
        <v>Электроснабжение</v>
      </c>
      <c r="B94" s="170"/>
      <c r="C94" s="170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7">
        <f>VLOOKUP("эл",АО,5,FALSE)</f>
        <v>73255.13</v>
      </c>
      <c r="H94" s="168"/>
      <c r="I94" s="168"/>
      <c r="J94" s="168"/>
      <c r="K94" s="1" t="str">
        <f>VLOOKUP("эл",АО,2,FALSE)</f>
        <v>Электроснабжение</v>
      </c>
      <c r="L94" s="183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61045.94</v>
      </c>
      <c r="L95" s="183"/>
      <c r="O95" s="1" t="s">
        <v>112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73380.81</v>
      </c>
      <c r="L96" s="183"/>
      <c r="O96" s="1" t="s">
        <v>113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83"/>
      <c r="O97" s="1" t="s">
        <v>114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73255.13</v>
      </c>
      <c r="L98" s="183"/>
      <c r="O98" s="1" t="s">
        <v>115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73255.13</v>
      </c>
      <c r="L99" s="183"/>
      <c r="O99" s="1" t="s">
        <v>116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83"/>
      <c r="O100" s="1" t="s">
        <v>117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83"/>
      <c r="O101" s="1" t="s">
        <v>118</v>
      </c>
    </row>
    <row r="102" spans="1:15" ht="28.5" customHeight="1" outlineLevel="1">
      <c r="A102" s="170" t="str">
        <f>IF(VLOOKUP("хвс",АО,3,FALSE)&gt;0,"Холодное водоснабжение",0)</f>
        <v>Холодное водоснабжение</v>
      </c>
      <c r="B102" s="170"/>
      <c r="C102" s="170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7">
        <f>VLOOKUP("хвс",АО,5,FALSE)</f>
        <v>143987.65</v>
      </c>
      <c r="H102" s="168"/>
      <c r="I102" s="168"/>
      <c r="J102" s="168"/>
      <c r="L102" s="183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10908.16</v>
      </c>
      <c r="L103" s="183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147534.63</v>
      </c>
      <c r="L104" s="183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83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143987.65</v>
      </c>
      <c r="L106" s="183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143987.65</v>
      </c>
      <c r="L107" s="183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83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83"/>
      <c r="O109" s="1" t="s">
        <v>127</v>
      </c>
    </row>
    <row r="110" spans="1:15" ht="27" customHeight="1" outlineLevel="1">
      <c r="A110" s="170" t="str">
        <f>IF(VLOOKUP("воо",АО,3,FALSE)&gt;0,"Водоотведение",0)</f>
        <v>Водоотведение</v>
      </c>
      <c r="B110" s="170"/>
      <c r="C110" s="170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7">
        <f>VLOOKUP("воо",АО,5,FALSE)</f>
        <v>287990.27</v>
      </c>
      <c r="H110" s="168"/>
      <c r="I110" s="168"/>
      <c r="J110" s="168"/>
      <c r="L110" s="183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17954.509999999998</v>
      </c>
      <c r="L111" s="183"/>
      <c r="O111" s="1" t="s">
        <v>129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295253.98</v>
      </c>
      <c r="L112" s="183"/>
      <c r="O112" s="1" t="s">
        <v>130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83"/>
      <c r="O113" s="1" t="s">
        <v>131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287990.27</v>
      </c>
      <c r="L114" s="183"/>
      <c r="O114" s="1" t="s">
        <v>132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287990.27</v>
      </c>
      <c r="L115" s="183"/>
      <c r="O115" s="1" t="s">
        <v>133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83"/>
      <c r="O116" s="1" t="s">
        <v>134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83"/>
      <c r="O117" s="1" t="s">
        <v>135</v>
      </c>
    </row>
    <row r="118" spans="1:15" ht="32.25" hidden="1" customHeight="1" outlineLevel="1">
      <c r="A118" s="170">
        <f>IF(VLOOKUP("тко",АО,3,FALSE)&gt;0,"Обращение с ТКО",0)</f>
        <v>0</v>
      </c>
      <c r="B118" s="170"/>
      <c r="C118" s="170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7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5">
        <f t="shared" ref="A119:A125" si="8">IF(VLOOKUP("тко",АО,3,FALSE)&gt;0,VLOOKUP(O119,АО,2,FALSE),0)</f>
        <v>0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5">
        <f t="shared" si="8"/>
        <v>0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5">
        <f t="shared" si="8"/>
        <v>0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5">
        <f t="shared" si="8"/>
        <v>0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5">
        <f t="shared" si="8"/>
        <v>0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5">
        <f t="shared" si="8"/>
        <v>0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5">
        <f t="shared" si="8"/>
        <v>0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0" t="str">
        <f>IF(VLOOKUP("гвс",АО,3,FALSE)&gt;0,"Горячее водоснабжение",0)</f>
        <v>Горячее водоснабжение</v>
      </c>
      <c r="B126" s="170"/>
      <c r="C126" s="170"/>
      <c r="D126" s="168" t="str">
        <f>IF(VLOOKUP("гвс",АО,3,FALSE)&gt;0,VLOOKUP("гвс",АО,3,FALSE),0)</f>
        <v>Предоставляется</v>
      </c>
      <c r="E126" s="168"/>
      <c r="F126" s="13" t="str">
        <f>IF(VLOOKUP("гвс",АО,3,FALSE)&gt;0,VLOOKUP("гвс",АО,4,FALSE),0)</f>
        <v>куб.м.</v>
      </c>
      <c r="G126" s="167">
        <f>VLOOKUP("гвс",АО,5,FALSE)</f>
        <v>92917.57</v>
      </c>
      <c r="H126" s="168"/>
      <c r="I126" s="168"/>
      <c r="J126" s="168"/>
      <c r="L126" s="47"/>
    </row>
    <row r="127" spans="1:15" ht="32.25" hidden="1" customHeight="1" outlineLevel="2">
      <c r="A127" s="165" t="str">
        <f t="shared" ref="A127:A133" si="10">IF(VLOOKUP("гвс",АО,3,FALSE)&gt;0,VLOOKUP(O127,АО,2,FALSE),0)</f>
        <v>Общий объем потребления, нат. показ.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7039.21</v>
      </c>
      <c r="L127" s="47"/>
      <c r="O127" s="1" t="s">
        <v>145</v>
      </c>
    </row>
    <row r="128" spans="1:15" ht="32.25" hidden="1" customHeight="1" outlineLevel="2">
      <c r="A128" s="165" t="str">
        <f t="shared" si="10"/>
        <v>Оплачено потребителями, руб.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96079.48</v>
      </c>
      <c r="L128" s="47"/>
      <c r="O128" s="1" t="s">
        <v>146</v>
      </c>
    </row>
    <row r="129" spans="1:15" ht="32.25" hidden="1" customHeight="1" outlineLevel="2">
      <c r="A129" s="165" t="str">
        <f t="shared" si="10"/>
        <v>Задолженность потребителей, руб.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5" t="str">
        <f t="shared" si="10"/>
        <v>Начислено поставщиком (поставщиками) коммунального ресурса, руб.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92917.57</v>
      </c>
      <c r="L130" s="47"/>
      <c r="O130" s="1" t="s">
        <v>148</v>
      </c>
    </row>
    <row r="131" spans="1:15" ht="32.25" hidden="1" customHeight="1" outlineLevel="2">
      <c r="A131" s="165" t="str">
        <f t="shared" si="10"/>
        <v>Оплачено поставщику (поставщикам) коммунального ресурса, руб.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92917.57</v>
      </c>
      <c r="L131" s="47"/>
      <c r="O131" s="1" t="s">
        <v>149</v>
      </c>
    </row>
    <row r="132" spans="1:15" ht="32.25" hidden="1" customHeight="1" outlineLevel="2">
      <c r="A132" s="165" t="str">
        <f t="shared" si="10"/>
        <v>Задолженность перед поставщиком (поставщиками) коммунального ресурса, руб.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5" t="str">
        <f t="shared" si="10"/>
        <v>Размер пени и штрафов, уплаченных поставщику (поставщикам) коммунального ресурса, руб.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0">
        <f>IF(VLOOKUP("отопление",АО,3,FALSE)&gt;0,"Отопление",0)</f>
        <v>0</v>
      </c>
      <c r="B134" s="170"/>
      <c r="C134" s="170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7</v>
      </c>
      <c r="O144" t="s">
        <v>169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65" t="s">
        <v>172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310189.94</v>
      </c>
      <c r="O146" t="s">
        <v>171</v>
      </c>
    </row>
    <row r="149" spans="1:15" ht="52.5" customHeight="1">
      <c r="A149" s="161" t="s">
        <v>178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0" t="s">
        <v>192</v>
      </c>
      <c r="B154" s="160"/>
      <c r="C154" s="160"/>
      <c r="D154" s="160"/>
      <c r="E154" s="27">
        <f>ПТО!G1</f>
        <v>-388859.28</v>
      </c>
    </row>
    <row r="155" spans="1:15" ht="34.5" customHeight="1">
      <c r="A155" s="162" t="s">
        <v>193</v>
      </c>
      <c r="B155" s="162"/>
      <c r="C155" s="162"/>
      <c r="D155" s="162"/>
      <c r="E155" s="28">
        <f>J13</f>
        <v>295781.68800000002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7" t="str">
        <f t="shared" ref="A158:A163" si="14">IF(N158&gt;0,N158,0)</f>
        <v>Техническое освидетельствование лифтов.</v>
      </c>
      <c r="B158" s="157"/>
      <c r="C158" s="157"/>
      <c r="D158" s="157"/>
      <c r="E158" s="157"/>
      <c r="F158" s="158">
        <f t="shared" ref="F158:F163" si="15">IF(ISERROR(VLOOKUP(A158,$A$28:$J$72,6,FALSE)),0,VLOOKUP(A158,$A$28:$J$72,6,FALSE))</f>
        <v>15000</v>
      </c>
      <c r="G158" s="158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2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7" t="str">
        <f t="shared" si="14"/>
        <v>Установка комплекта аварийного освещения кабин пассажирских лифтов.</v>
      </c>
      <c r="B159" s="157"/>
      <c r="C159" s="157"/>
      <c r="D159" s="157"/>
      <c r="E159" s="157"/>
      <c r="F159" s="158">
        <f t="shared" si="15"/>
        <v>2758</v>
      </c>
      <c r="G159" s="158"/>
      <c r="H159" s="24" t="str">
        <f t="shared" si="16"/>
        <v>разово</v>
      </c>
      <c r="I159" s="159">
        <f t="shared" si="17"/>
        <v>1</v>
      </c>
      <c r="J159" s="159"/>
      <c r="M159" s="22" t="s">
        <v>72</v>
      </c>
      <c r="N159" s="1" t="str">
        <v>Установка комплекта аварийного освещения кабин пассажирских лифтов.</v>
      </c>
    </row>
    <row r="160" spans="1:15" ht="28.5" customHeight="1">
      <c r="A160" s="157" t="str">
        <f t="shared" si="14"/>
        <v>Ремонт прибора учета тепловой энергии.</v>
      </c>
      <c r="B160" s="157"/>
      <c r="C160" s="157"/>
      <c r="D160" s="157"/>
      <c r="E160" s="157"/>
      <c r="F160" s="158">
        <f t="shared" si="15"/>
        <v>6530</v>
      </c>
      <c r="G160" s="158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Ремонт прибора учета тепловой энергии.</v>
      </c>
    </row>
    <row r="161" spans="1:14" ht="28.5" customHeight="1">
      <c r="A161" s="157" t="str">
        <f>IF(N161&gt;0,N161,0)</f>
        <v>Замена каретки дверей шахты лифта (в сборе 2 шт., 2ой подъезд).</v>
      </c>
      <c r="B161" s="157"/>
      <c r="C161" s="157"/>
      <c r="D161" s="157"/>
      <c r="E161" s="157"/>
      <c r="F161" s="158">
        <f t="shared" si="15"/>
        <v>24758</v>
      </c>
      <c r="G161" s="158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Замена каретки дверей шахты лифта (в сборе 2 шт., 2ой подъезд).</v>
      </c>
    </row>
    <row r="162" spans="1:14" ht="28.5" hidden="1" customHeight="1">
      <c r="A162" s="157">
        <f t="shared" si="14"/>
        <v>0</v>
      </c>
      <c r="B162" s="157"/>
      <c r="C162" s="157"/>
      <c r="D162" s="157"/>
      <c r="E162" s="157"/>
      <c r="F162" s="158">
        <f t="shared" si="15"/>
        <v>0</v>
      </c>
      <c r="G162" s="158"/>
      <c r="H162" s="24" t="e">
        <f t="shared" si="16"/>
        <v>#N/A</v>
      </c>
      <c r="I162" s="159" t="e">
        <f>VLOOKUP(A162,$A$28:$J$72,9,FALSE)</f>
        <v>#N/A</v>
      </c>
      <c r="J162" s="159"/>
      <c r="M162" s="22" t="s">
        <v>72</v>
      </c>
      <c r="N162" s="1">
        <v>0</v>
      </c>
    </row>
    <row r="163" spans="1:14" ht="28.5" hidden="1" customHeight="1">
      <c r="A163" s="157">
        <f t="shared" si="14"/>
        <v>0</v>
      </c>
      <c r="B163" s="157"/>
      <c r="C163" s="157"/>
      <c r="D163" s="157"/>
      <c r="E163" s="157"/>
      <c r="F163" s="158">
        <f t="shared" si="15"/>
        <v>0</v>
      </c>
      <c r="G163" s="158"/>
      <c r="H163" s="24" t="e">
        <f t="shared" si="16"/>
        <v>#N/A</v>
      </c>
      <c r="I163" s="159" t="e">
        <f>VLOOKUP(A163,$A$28:$J$72,9,FALSE)</f>
        <v>#N/A</v>
      </c>
      <c r="J163" s="159"/>
      <c r="M163" s="22" t="s">
        <v>72</v>
      </c>
      <c r="N163" s="1">
        <v>0</v>
      </c>
    </row>
    <row r="164" spans="1:14" ht="28.5" hidden="1" customHeight="1">
      <c r="A164" s="157">
        <f t="shared" ref="A164:A187" si="18">IF(N164&gt;0,N164,0)</f>
        <v>0</v>
      </c>
      <c r="B164" s="157"/>
      <c r="C164" s="157"/>
      <c r="D164" s="157"/>
      <c r="E164" s="157"/>
      <c r="F164" s="158">
        <f t="shared" ref="F164:F187" si="19">IF(ISERROR(VLOOKUP(A164,$A$28:$J$72,6,FALSE)),0,VLOOKUP(A164,$A$28:$J$72,6,FALSE))</f>
        <v>0</v>
      </c>
      <c r="G164" s="158"/>
      <c r="H164" s="29" t="e">
        <f t="shared" si="16"/>
        <v>#N/A</v>
      </c>
      <c r="I164" s="159" t="e">
        <f t="shared" ref="I164:I187" si="20">VLOOKUP(A164,$A$28:$J$72,9,FALSE)</f>
        <v>#N/A</v>
      </c>
      <c r="J164" s="159"/>
      <c r="M164" s="22" t="s">
        <v>72</v>
      </c>
      <c r="N164" s="1">
        <v>0</v>
      </c>
    </row>
    <row r="165" spans="1:14" ht="28.5" hidden="1" customHeight="1">
      <c r="A165" s="157">
        <f t="shared" si="18"/>
        <v>0</v>
      </c>
      <c r="B165" s="157"/>
      <c r="C165" s="157"/>
      <c r="D165" s="157"/>
      <c r="E165" s="157"/>
      <c r="F165" s="158">
        <f t="shared" si="19"/>
        <v>0</v>
      </c>
      <c r="G165" s="158"/>
      <c r="H165" s="29" t="e">
        <f t="shared" si="16"/>
        <v>#N/A</v>
      </c>
      <c r="I165" s="159" t="e">
        <f t="shared" si="20"/>
        <v>#N/A</v>
      </c>
      <c r="J165" s="159"/>
      <c r="M165" s="22" t="s">
        <v>72</v>
      </c>
      <c r="N165" s="1">
        <v>0</v>
      </c>
    </row>
    <row r="166" spans="1:14" ht="28.5" hidden="1" customHeight="1">
      <c r="A166" s="157">
        <f t="shared" si="18"/>
        <v>0</v>
      </c>
      <c r="B166" s="157"/>
      <c r="C166" s="157"/>
      <c r="D166" s="157"/>
      <c r="E166" s="157"/>
      <c r="F166" s="158">
        <f t="shared" si="19"/>
        <v>0</v>
      </c>
      <c r="G166" s="158"/>
      <c r="H166" s="29" t="e">
        <f t="shared" si="16"/>
        <v>#N/A</v>
      </c>
      <c r="I166" s="159" t="e">
        <f t="shared" si="20"/>
        <v>#N/A</v>
      </c>
      <c r="J166" s="159"/>
      <c r="M166" s="22" t="s">
        <v>72</v>
      </c>
      <c r="N166" s="1">
        <v>0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58">
        <f t="shared" si="19"/>
        <v>0</v>
      </c>
      <c r="G167" s="158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58">
        <f t="shared" si="19"/>
        <v>0</v>
      </c>
      <c r="G168" s="158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58">
        <f t="shared" si="19"/>
        <v>0</v>
      </c>
      <c r="G169" s="158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58">
        <f t="shared" si="19"/>
        <v>0</v>
      </c>
      <c r="G170" s="158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58">
        <f t="shared" si="19"/>
        <v>0</v>
      </c>
      <c r="G171" s="158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58">
        <f t="shared" si="19"/>
        <v>0</v>
      </c>
      <c r="G172" s="158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58">
        <f t="shared" si="19"/>
        <v>0</v>
      </c>
      <c r="G173" s="158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58">
        <f t="shared" si="19"/>
        <v>0</v>
      </c>
      <c r="G174" s="158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58">
        <f t="shared" si="19"/>
        <v>0</v>
      </c>
      <c r="G175" s="158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58">
        <f t="shared" si="19"/>
        <v>0</v>
      </c>
      <c r="G176" s="158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58">
        <f t="shared" si="19"/>
        <v>0</v>
      </c>
      <c r="G177" s="158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58">
        <f t="shared" si="19"/>
        <v>0</v>
      </c>
      <c r="G178" s="158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58">
        <f t="shared" si="19"/>
        <v>0</v>
      </c>
      <c r="G179" s="158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58">
        <f t="shared" si="19"/>
        <v>0</v>
      </c>
      <c r="G180" s="158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58">
        <f t="shared" si="19"/>
        <v>0</v>
      </c>
      <c r="G181" s="158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58">
        <f t="shared" si="19"/>
        <v>0</v>
      </c>
      <c r="G182" s="158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58">
        <f t="shared" si="19"/>
        <v>0</v>
      </c>
      <c r="G183" s="158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58">
        <f t="shared" si="19"/>
        <v>0</v>
      </c>
      <c r="G184" s="158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58">
        <f t="shared" si="19"/>
        <v>0</v>
      </c>
      <c r="G185" s="158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58">
        <f t="shared" si="19"/>
        <v>0</v>
      </c>
      <c r="G186" s="158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58">
        <f t="shared" si="19"/>
        <v>0</v>
      </c>
      <c r="G187" s="158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60" t="s">
        <v>191</v>
      </c>
      <c r="B190" s="160"/>
      <c r="C190" s="160"/>
      <c r="D190" s="160"/>
      <c r="E190" s="27">
        <f>SUM(F158:G187)</f>
        <v>49046</v>
      </c>
    </row>
    <row r="191" spans="1:14" ht="51.75" customHeight="1">
      <c r="A191" s="160" t="s">
        <v>190</v>
      </c>
      <c r="B191" s="160"/>
      <c r="C191" s="160"/>
      <c r="D191" s="160"/>
      <c r="E191" s="27">
        <f>E190+E154-E155</f>
        <v>-635594.96800000011</v>
      </c>
    </row>
    <row r="192" spans="1:14">
      <c r="A192" s="103" t="s">
        <v>173</v>
      </c>
    </row>
    <row r="193" spans="1:10" ht="62.25" customHeight="1">
      <c r="A193" s="185" t="s">
        <v>189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4" t="str">
        <f>ПТО!F12</f>
        <v xml:space="preserve">  -  поверка (замена) манометров и термометров</v>
      </c>
      <c r="B194" s="184"/>
      <c r="C194" s="184"/>
      <c r="D194" s="184"/>
      <c r="E194" s="184"/>
      <c r="F194" s="184"/>
      <c r="G194" s="184"/>
      <c r="H194" s="48">
        <f>ПТО!G12</f>
        <v>1200</v>
      </c>
      <c r="I194" s="49" t="s">
        <v>74</v>
      </c>
    </row>
    <row r="195" spans="1:10" ht="18.75" customHeight="1">
      <c r="A195" s="184" t="str">
        <f>ПТО!F13</f>
        <v xml:space="preserve">  -  техническое освидетельствование лифтов</v>
      </c>
      <c r="B195" s="184"/>
      <c r="C195" s="184"/>
      <c r="D195" s="184"/>
      <c r="E195" s="184"/>
      <c r="F195" s="184"/>
      <c r="G195" s="184"/>
      <c r="H195" s="48">
        <f>ПТО!G13</f>
        <v>15000</v>
      </c>
      <c r="I195" s="49" t="s">
        <v>74</v>
      </c>
    </row>
    <row r="196" spans="1:10" ht="18.75" customHeight="1">
      <c r="A196" s="184" t="str">
        <f>ПТО!F14</f>
        <v xml:space="preserve">  -  вывоз снега с придомовой территории</v>
      </c>
      <c r="B196" s="184"/>
      <c r="C196" s="184"/>
      <c r="D196" s="184"/>
      <c r="E196" s="184"/>
      <c r="F196" s="184"/>
      <c r="G196" s="184"/>
      <c r="H196" s="48">
        <f>ПТО!G14</f>
        <v>25000</v>
      </c>
      <c r="I196" s="49" t="s">
        <v>74</v>
      </c>
    </row>
    <row r="197" spans="1:10" ht="18.75" customHeight="1">
      <c r="A197" s="184" t="str">
        <f>ПТО!F15</f>
        <v xml:space="preserve">  -  благоустройство территории (завоз песка, чернозема, приобретение рассады)</v>
      </c>
      <c r="B197" s="184"/>
      <c r="C197" s="184"/>
      <c r="D197" s="184"/>
      <c r="E197" s="184"/>
      <c r="F197" s="184"/>
      <c r="G197" s="184"/>
      <c r="H197" s="48">
        <f>ПТО!G15</f>
        <v>5000</v>
      </c>
      <c r="I197" s="49" t="s">
        <v>74</v>
      </c>
    </row>
    <row r="198" spans="1:10" ht="18.75" customHeight="1">
      <c r="A198" s="184" t="str">
        <f>ПТО!F16</f>
        <v xml:space="preserve">  -  замена светильников в подъездах</v>
      </c>
      <c r="B198" s="184"/>
      <c r="C198" s="184"/>
      <c r="D198" s="184"/>
      <c r="E198" s="184"/>
      <c r="F198" s="184"/>
      <c r="G198" s="184"/>
      <c r="H198" s="48">
        <f>ПТО!G16</f>
        <v>90000</v>
      </c>
      <c r="I198" s="51" t="s">
        <v>74</v>
      </c>
    </row>
    <row r="199" spans="1:10" ht="18.75" customHeight="1">
      <c r="A199" s="184" t="str">
        <f>ПТО!F17</f>
        <v xml:space="preserve">  -  генеральная уборка в подъездах</v>
      </c>
      <c r="B199" s="184"/>
      <c r="C199" s="184"/>
      <c r="D199" s="184"/>
      <c r="E199" s="184"/>
      <c r="F199" s="184"/>
      <c r="G199" s="184"/>
      <c r="H199" s="48">
        <f>ПТО!G17</f>
        <v>20000</v>
      </c>
      <c r="I199" s="49" t="s">
        <v>74</v>
      </c>
    </row>
    <row r="200" spans="1:10">
      <c r="A200" s="184" t="str">
        <f>ПТО!F18</f>
        <v xml:space="preserve">  -  проведение косметического ремонта в подъездах</v>
      </c>
      <c r="B200" s="184"/>
      <c r="C200" s="184"/>
      <c r="D200" s="184"/>
      <c r="E200" s="184"/>
      <c r="F200" s="184"/>
      <c r="G200" s="184"/>
      <c r="H200" s="48">
        <f>ПТО!G18</f>
        <v>594000</v>
      </c>
      <c r="I200" s="49" t="s">
        <v>74</v>
      </c>
    </row>
    <row r="201" spans="1:10">
      <c r="A201" s="184" t="str">
        <f>ПТО!F19</f>
        <v xml:space="preserve">  -  замена деревянных дверей в подъездах </v>
      </c>
      <c r="B201" s="184"/>
      <c r="C201" s="184"/>
      <c r="D201" s="184"/>
      <c r="E201" s="184"/>
      <c r="F201" s="184"/>
      <c r="G201" s="184"/>
      <c r="H201" s="48">
        <f>ПТО!G19</f>
        <v>50000</v>
      </c>
      <c r="I201" s="49" t="s">
        <v>74</v>
      </c>
    </row>
    <row r="202" spans="1:10">
      <c r="A202" s="184" t="str">
        <f>ПТО!F20</f>
        <v xml:space="preserve">  -  установка пандуса 1 подъезд.</v>
      </c>
      <c r="B202" s="184"/>
      <c r="C202" s="184"/>
      <c r="D202" s="184"/>
      <c r="E202" s="184"/>
      <c r="F202" s="184"/>
      <c r="G202" s="184"/>
      <c r="H202" s="48">
        <f>ПТО!G20</f>
        <v>45000</v>
      </c>
      <c r="I202" s="49" t="s">
        <v>74</v>
      </c>
    </row>
    <row r="203" spans="1:10" hidden="1">
      <c r="A203" s="184">
        <f>ПТО!F21</f>
        <v>0</v>
      </c>
      <c r="B203" s="184"/>
      <c r="C203" s="184"/>
      <c r="D203" s="184"/>
      <c r="E203" s="184"/>
      <c r="F203" s="184"/>
      <c r="G203" s="184"/>
      <c r="H203" s="48">
        <f>ПТО!G21</f>
        <v>0</v>
      </c>
      <c r="I203" s="49" t="s">
        <v>74</v>
      </c>
    </row>
    <row r="204" spans="1:10" hidden="1">
      <c r="A204" s="184">
        <f>ПТО!F22</f>
        <v>0</v>
      </c>
      <c r="B204" s="184"/>
      <c r="C204" s="184"/>
      <c r="D204" s="184"/>
      <c r="E204" s="184"/>
      <c r="F204" s="184"/>
      <c r="G204" s="184"/>
      <c r="H204" s="48">
        <f>ПТО!G22</f>
        <v>0</v>
      </c>
      <c r="I204" s="49" t="s">
        <v>74</v>
      </c>
    </row>
    <row r="205" spans="1:10" hidden="1">
      <c r="A205" s="184">
        <f>ПТО!F23</f>
        <v>0</v>
      </c>
      <c r="B205" s="184"/>
      <c r="C205" s="184"/>
      <c r="D205" s="184"/>
      <c r="E205" s="184"/>
      <c r="F205" s="184"/>
      <c r="G205" s="184"/>
      <c r="H205" s="48">
        <f>ПТО!G23</f>
        <v>0</v>
      </c>
      <c r="I205" s="49" t="s">
        <v>74</v>
      </c>
    </row>
    <row r="206" spans="1:10" hidden="1">
      <c r="A206" s="184">
        <f>ПТО!F24</f>
        <v>0</v>
      </c>
      <c r="B206" s="184"/>
      <c r="C206" s="184"/>
      <c r="D206" s="184"/>
      <c r="E206" s="184"/>
      <c r="F206" s="184"/>
      <c r="G206" s="184"/>
      <c r="H206" s="48">
        <f>ПТО!G24</f>
        <v>0</v>
      </c>
      <c r="I206" s="49" t="s">
        <v>74</v>
      </c>
    </row>
    <row r="207" spans="1:10" hidden="1">
      <c r="A207" s="184">
        <f>ПТО!F25</f>
        <v>0</v>
      </c>
      <c r="B207" s="184"/>
      <c r="C207" s="184"/>
      <c r="D207" s="184"/>
      <c r="E207" s="184"/>
      <c r="F207" s="184"/>
      <c r="G207" s="184"/>
      <c r="H207" s="48">
        <f>ПТО!G25</f>
        <v>0</v>
      </c>
      <c r="I207" s="49" t="s">
        <v>74</v>
      </c>
    </row>
    <row r="208" spans="1:10" hidden="1">
      <c r="A208" s="184">
        <f>ПТО!F26</f>
        <v>0</v>
      </c>
      <c r="B208" s="184"/>
      <c r="C208" s="184"/>
      <c r="D208" s="184"/>
      <c r="E208" s="184"/>
      <c r="F208" s="184"/>
      <c r="G208" s="184"/>
      <c r="H208" s="48">
        <f>ПТО!G26</f>
        <v>0</v>
      </c>
      <c r="I208" s="49" t="s">
        <v>74</v>
      </c>
    </row>
    <row r="209" spans="1:9" hidden="1">
      <c r="A209" s="184">
        <f>ПТО!F27</f>
        <v>0</v>
      </c>
      <c r="B209" s="184"/>
      <c r="C209" s="184"/>
      <c r="D209" s="184"/>
      <c r="E209" s="184"/>
      <c r="F209" s="184"/>
      <c r="G209" s="184"/>
      <c r="H209" s="48">
        <f>ПТО!G27</f>
        <v>0</v>
      </c>
      <c r="I209" s="49" t="s">
        <v>74</v>
      </c>
    </row>
    <row r="210" spans="1:9" hidden="1">
      <c r="A210" s="184">
        <f>ПТО!F28</f>
        <v>0</v>
      </c>
      <c r="B210" s="184"/>
      <c r="C210" s="184"/>
      <c r="D210" s="184"/>
      <c r="E210" s="184"/>
      <c r="F210" s="184"/>
      <c r="G210" s="184"/>
      <c r="H210" s="48">
        <f>ПТО!G28</f>
        <v>0</v>
      </c>
      <c r="I210" s="49" t="s">
        <v>74</v>
      </c>
    </row>
    <row r="211" spans="1:9" hidden="1">
      <c r="A211" s="184">
        <f>ПТО!F29</f>
        <v>0</v>
      </c>
      <c r="B211" s="184"/>
      <c r="C211" s="184"/>
      <c r="D211" s="184"/>
      <c r="E211" s="184"/>
      <c r="F211" s="184"/>
      <c r="G211" s="184"/>
      <c r="H211" s="48">
        <f>ПТО!G29</f>
        <v>0</v>
      </c>
      <c r="I211" s="49" t="s">
        <v>74</v>
      </c>
    </row>
    <row r="212" spans="1:9" hidden="1">
      <c r="A212" s="184">
        <f>ПТО!F30</f>
        <v>0</v>
      </c>
      <c r="B212" s="184"/>
      <c r="C212" s="184"/>
      <c r="D212" s="184"/>
      <c r="E212" s="184"/>
      <c r="F212" s="184"/>
      <c r="G212" s="184"/>
      <c r="H212" s="48">
        <f>ПТО!G30</f>
        <v>0</v>
      </c>
      <c r="I212" s="49" t="s">
        <v>74</v>
      </c>
    </row>
    <row r="213" spans="1:9" hidden="1">
      <c r="A213" s="184">
        <f>ПТО!F31</f>
        <v>0</v>
      </c>
      <c r="B213" s="184"/>
      <c r="C213" s="184"/>
      <c r="D213" s="184"/>
      <c r="E213" s="184"/>
      <c r="F213" s="184"/>
      <c r="G213" s="184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845200</v>
      </c>
      <c r="I214" s="55" t="s">
        <v>76</v>
      </c>
    </row>
  </sheetData>
  <sheetProtection algorithmName="SHA-512" hashValue="ZQbLCx1vR3louq/zLxso1i77whVb3kaVKx+IW2IUS5MMHq9yvxKZyyogiJEoxzW/ehjNfRXCVjdNOkfL2td97Q==" saltValue="4x+DFNilvhk0yf86Kkw/R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192</v>
      </c>
      <c r="G1" s="100">
        <f>-388859.28</f>
        <v>-388859.28</v>
      </c>
    </row>
    <row r="2" spans="1:12" ht="18.75" customHeight="1">
      <c r="A2" s="124" t="s">
        <v>179</v>
      </c>
      <c r="B2" s="119" t="s">
        <v>176</v>
      </c>
      <c r="C2" s="119">
        <v>2</v>
      </c>
      <c r="D2" s="118">
        <v>15000</v>
      </c>
      <c r="E2" s="31" t="s">
        <v>202</v>
      </c>
      <c r="F2" s="32"/>
      <c r="G2" s="32"/>
      <c r="L2" s="33" t="str">
        <f t="shared" ref="L2:L22" si="0">IF(A2&gt;0,"ТР",0)</f>
        <v>ТР</v>
      </c>
    </row>
    <row r="3" spans="1:12" ht="29.25" customHeight="1">
      <c r="A3" s="147" t="s">
        <v>196</v>
      </c>
      <c r="B3" s="148" t="s">
        <v>195</v>
      </c>
      <c r="C3" s="131">
        <v>1</v>
      </c>
      <c r="D3" s="133">
        <v>2758</v>
      </c>
      <c r="E3" s="149" t="s">
        <v>197</v>
      </c>
      <c r="F3" s="30"/>
      <c r="G3" s="30"/>
      <c r="L3" s="33" t="str">
        <f t="shared" si="0"/>
        <v>ТР</v>
      </c>
    </row>
    <row r="4" spans="1:12" ht="30" customHeight="1">
      <c r="A4" s="150" t="s">
        <v>194</v>
      </c>
      <c r="B4" s="148" t="s">
        <v>195</v>
      </c>
      <c r="C4" s="131">
        <v>1</v>
      </c>
      <c r="D4" s="133">
        <v>6530</v>
      </c>
      <c r="E4" s="151" t="s">
        <v>198</v>
      </c>
      <c r="F4" s="30"/>
      <c r="G4" s="30"/>
      <c r="L4" s="33" t="str">
        <f t="shared" si="0"/>
        <v>ТР</v>
      </c>
    </row>
    <row r="5" spans="1:12" ht="30" customHeight="1">
      <c r="A5" s="152" t="s">
        <v>199</v>
      </c>
      <c r="B5" s="153" t="s">
        <v>195</v>
      </c>
      <c r="C5" s="132">
        <v>1</v>
      </c>
      <c r="D5" s="133">
        <v>24758</v>
      </c>
      <c r="E5" s="154" t="s">
        <v>200</v>
      </c>
      <c r="F5" s="44"/>
      <c r="G5" s="44"/>
      <c r="K5" s="46"/>
      <c r="L5" s="33" t="str">
        <f t="shared" si="0"/>
        <v>ТР</v>
      </c>
    </row>
    <row r="6" spans="1:12" ht="34.5" customHeight="1">
      <c r="A6" s="136"/>
      <c r="B6" s="123"/>
      <c r="C6" s="134"/>
      <c r="D6" s="135"/>
      <c r="E6" s="137"/>
      <c r="F6" s="44"/>
      <c r="G6" s="44"/>
      <c r="K6" s="46"/>
      <c r="L6" s="33">
        <f t="shared" si="0"/>
        <v>0</v>
      </c>
    </row>
    <row r="7" spans="1:12" ht="18.75" customHeight="1">
      <c r="A7" s="138"/>
      <c r="B7" s="123"/>
      <c r="C7" s="134"/>
      <c r="D7" s="135"/>
      <c r="E7" s="122"/>
      <c r="F7" s="45"/>
      <c r="G7" s="45"/>
      <c r="K7" s="46"/>
      <c r="L7" s="33">
        <f t="shared" si="0"/>
        <v>0</v>
      </c>
    </row>
    <row r="8" spans="1:12" ht="18.75" customHeight="1">
      <c r="A8" s="146"/>
      <c r="B8" s="139"/>
      <c r="C8" s="132"/>
      <c r="D8" s="133"/>
      <c r="E8" s="140"/>
      <c r="F8" s="45"/>
      <c r="G8" s="45"/>
      <c r="K8" s="43"/>
      <c r="L8" s="33">
        <f t="shared" si="0"/>
        <v>0</v>
      </c>
    </row>
    <row r="9" spans="1:12">
      <c r="A9" s="121"/>
      <c r="B9" s="119"/>
      <c r="C9" s="120"/>
      <c r="D9" s="118"/>
      <c r="E9" s="122"/>
      <c r="F9" s="44"/>
      <c r="G9" s="44"/>
      <c r="K9" s="43"/>
      <c r="L9" s="33">
        <f t="shared" si="0"/>
        <v>0</v>
      </c>
    </row>
    <row r="10" spans="1:12">
      <c r="A10" s="141"/>
      <c r="B10" s="142"/>
      <c r="C10" s="143"/>
      <c r="D10" s="144"/>
      <c r="E10" s="145"/>
      <c r="L10" s="33">
        <f t="shared" si="0"/>
        <v>0</v>
      </c>
    </row>
    <row r="11" spans="1:12" ht="94.5">
      <c r="A11" s="121"/>
      <c r="B11" s="119"/>
      <c r="C11" s="120"/>
      <c r="D11" s="118"/>
      <c r="E11" s="122"/>
      <c r="F11" s="110" t="s">
        <v>189</v>
      </c>
      <c r="G11" s="110"/>
      <c r="L11" s="33">
        <f t="shared" si="0"/>
        <v>0</v>
      </c>
    </row>
    <row r="12" spans="1:12" ht="31.5">
      <c r="A12" s="121"/>
      <c r="B12" s="119"/>
      <c r="C12" s="120"/>
      <c r="D12" s="118"/>
      <c r="E12" s="122"/>
      <c r="F12" s="111" t="s">
        <v>73</v>
      </c>
      <c r="G12" s="112">
        <v>1200</v>
      </c>
      <c r="L12" s="33">
        <f t="shared" si="0"/>
        <v>0</v>
      </c>
    </row>
    <row r="13" spans="1:12" ht="31.5">
      <c r="A13" s="121"/>
      <c r="B13" s="119"/>
      <c r="C13" s="119"/>
      <c r="D13" s="118"/>
      <c r="E13" s="122"/>
      <c r="F13" s="111" t="s">
        <v>181</v>
      </c>
      <c r="G13" s="112">
        <v>15000</v>
      </c>
      <c r="L13" s="33">
        <f t="shared" si="0"/>
        <v>0</v>
      </c>
    </row>
    <row r="14" spans="1:12" ht="15.75">
      <c r="A14" s="121"/>
      <c r="B14" s="119"/>
      <c r="C14" s="119"/>
      <c r="D14" s="118"/>
      <c r="E14" s="122"/>
      <c r="F14" s="125" t="s">
        <v>182</v>
      </c>
      <c r="G14" s="113">
        <v>25000</v>
      </c>
      <c r="L14" s="33">
        <f t="shared" si="0"/>
        <v>0</v>
      </c>
    </row>
    <row r="15" spans="1:12" ht="15.75">
      <c r="A15" s="121"/>
      <c r="B15" s="119"/>
      <c r="C15" s="120"/>
      <c r="D15" s="118"/>
      <c r="E15" s="122"/>
      <c r="F15" s="126" t="s">
        <v>183</v>
      </c>
      <c r="G15" s="127">
        <v>5000</v>
      </c>
      <c r="L15" s="33">
        <f t="shared" si="0"/>
        <v>0</v>
      </c>
    </row>
    <row r="16" spans="1:12" ht="15.75">
      <c r="A16" s="130"/>
      <c r="B16" s="119"/>
      <c r="C16" s="123"/>
      <c r="D16" s="118"/>
      <c r="E16" s="122"/>
      <c r="F16" s="125" t="s">
        <v>184</v>
      </c>
      <c r="G16" s="113">
        <v>90000</v>
      </c>
      <c r="L16" s="33">
        <f t="shared" si="0"/>
        <v>0</v>
      </c>
    </row>
    <row r="17" spans="1:12" ht="15.75">
      <c r="A17" s="30"/>
      <c r="F17" s="125" t="s">
        <v>185</v>
      </c>
      <c r="G17" s="113">
        <v>20000</v>
      </c>
      <c r="L17" s="33">
        <f t="shared" si="0"/>
        <v>0</v>
      </c>
    </row>
    <row r="18" spans="1:12" ht="15.75">
      <c r="A18" s="30"/>
      <c r="F18" s="125" t="s">
        <v>186</v>
      </c>
      <c r="G18" s="113">
        <v>594000</v>
      </c>
      <c r="L18" s="33">
        <f t="shared" si="0"/>
        <v>0</v>
      </c>
    </row>
    <row r="19" spans="1:12" ht="15.75">
      <c r="A19" s="30"/>
      <c r="F19" s="125" t="s">
        <v>187</v>
      </c>
      <c r="G19" s="113">
        <v>50000</v>
      </c>
      <c r="L19" s="33">
        <f t="shared" si="0"/>
        <v>0</v>
      </c>
    </row>
    <row r="20" spans="1:12" ht="15.75">
      <c r="A20" s="30"/>
      <c r="F20" s="125" t="s">
        <v>188</v>
      </c>
      <c r="G20" s="113">
        <v>45000</v>
      </c>
      <c r="L20" s="33">
        <f t="shared" si="0"/>
        <v>0</v>
      </c>
    </row>
    <row r="21" spans="1:12" ht="15.75">
      <c r="F21" s="129"/>
      <c r="G21" s="128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345420.96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345420.96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108294.12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108294.12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93357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93357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73440.84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73440.84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21783.360000000001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21783.360000000001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17">
        <v>109538.88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109538.88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17">
        <v>248329.68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248329.68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201</v>
      </c>
      <c r="B47" s="155">
        <f>(1573*3.48*1.23*6+1573*3.48*1.17*6)+(907.6*0.075*13.45*6+907.6*0.075*12.94*6)+(907.6*0.075*16.35*6+907.6*0.075*15.73*6)</f>
        <v>102706.49340000001</v>
      </c>
      <c r="C47" s="38" t="s">
        <v>68</v>
      </c>
      <c r="D47" s="156">
        <v>12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102706.49340000001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" zoomScale="85" zoomScaleNormal="85" workbookViewId="0">
      <selection activeCell="D30" sqref="D30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180</v>
      </c>
      <c r="F1" s="59">
        <v>5200.1000000000004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352170.95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1310284.108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1014502.42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295781.68800000002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1326536.75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1326536.75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1326536.75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335918.30799999996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88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88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88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88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87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87"/>
      <c r="N26" s="62"/>
    </row>
    <row r="27" spans="1:15" ht="18.75" customHeight="1">
      <c r="A27" s="69" t="s">
        <v>104</v>
      </c>
      <c r="B27" s="74" t="s">
        <v>4</v>
      </c>
      <c r="C27" s="85">
        <v>105375.56</v>
      </c>
      <c r="D27" s="80" t="s">
        <v>60</v>
      </c>
      <c r="E27" s="63"/>
      <c r="F27" s="63"/>
      <c r="G27" s="63"/>
      <c r="H27" s="63"/>
      <c r="I27" s="63"/>
      <c r="J27" s="63"/>
      <c r="M27" s="187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87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87"/>
      <c r="N29" s="62"/>
    </row>
    <row r="30" spans="1:15" ht="18.75" customHeight="1">
      <c r="A30" s="69" t="s">
        <v>107</v>
      </c>
      <c r="B30" s="74" t="s">
        <v>18</v>
      </c>
      <c r="C30" s="85">
        <v>91277.28</v>
      </c>
      <c r="D30" s="80" t="s">
        <v>66</v>
      </c>
      <c r="E30" s="63"/>
      <c r="F30" s="63"/>
      <c r="G30" s="63"/>
      <c r="H30" s="63"/>
      <c r="I30" s="63"/>
      <c r="J30" s="63"/>
      <c r="M30" s="187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87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87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87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87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73255.13</v>
      </c>
      <c r="F37" s="93" t="s">
        <v>166</v>
      </c>
      <c r="G37" s="65"/>
      <c r="H37" s="65"/>
      <c r="I37" s="65"/>
      <c r="L37" s="62"/>
      <c r="M37" s="186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61045.94</v>
      </c>
      <c r="D38" s="93" t="s">
        <v>164</v>
      </c>
      <c r="E38" s="67"/>
      <c r="G38" s="66"/>
      <c r="H38" s="66"/>
      <c r="L38" s="62"/>
      <c r="M38" s="186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73380.81</v>
      </c>
      <c r="D39" s="93" t="s">
        <v>165</v>
      </c>
      <c r="E39" s="67"/>
      <c r="G39" s="66"/>
      <c r="H39" s="66"/>
      <c r="L39" s="62"/>
      <c r="M39" s="186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0</v>
      </c>
      <c r="D40" s="79" t="s">
        <v>59</v>
      </c>
      <c r="E40" s="67"/>
      <c r="G40" s="66"/>
      <c r="H40" s="66"/>
      <c r="L40" s="62"/>
      <c r="M40" s="186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73255.13</v>
      </c>
      <c r="D41" s="79" t="s">
        <v>59</v>
      </c>
      <c r="E41" s="67"/>
      <c r="G41" s="66"/>
      <c r="H41" s="66"/>
      <c r="L41" s="62"/>
      <c r="M41" s="186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73255.13</v>
      </c>
      <c r="D42" s="79" t="s">
        <v>59</v>
      </c>
      <c r="E42" s="67"/>
      <c r="G42" s="66"/>
      <c r="H42" s="66"/>
      <c r="L42" s="62"/>
      <c r="M42" s="186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86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86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143987.65</v>
      </c>
      <c r="F45" s="93" t="s">
        <v>166</v>
      </c>
      <c r="G45" s="65"/>
      <c r="H45" s="65"/>
      <c r="L45" s="62"/>
      <c r="M45" s="186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10908.16</v>
      </c>
      <c r="D46" s="93" t="s">
        <v>167</v>
      </c>
      <c r="E46" s="67"/>
      <c r="G46" s="66"/>
      <c r="H46" s="66"/>
      <c r="L46" s="62"/>
      <c r="M46" s="186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147534.63</v>
      </c>
      <c r="D47" s="93" t="s">
        <v>165</v>
      </c>
      <c r="E47" s="67"/>
      <c r="G47" s="66"/>
      <c r="H47" s="66"/>
      <c r="L47" s="62"/>
      <c r="M47" s="186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86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143987.65</v>
      </c>
      <c r="D49" s="79" t="s">
        <v>59</v>
      </c>
      <c r="E49" s="67"/>
      <c r="G49" s="66"/>
      <c r="H49" s="66"/>
      <c r="L49" s="62"/>
      <c r="M49" s="186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143987.65</v>
      </c>
      <c r="D50" s="79" t="s">
        <v>59</v>
      </c>
      <c r="E50" s="67"/>
      <c r="G50" s="66"/>
      <c r="H50" s="66"/>
      <c r="L50" s="62"/>
      <c r="M50" s="186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86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86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287990.27</v>
      </c>
      <c r="F53" s="93" t="s">
        <v>166</v>
      </c>
      <c r="G53" s="65"/>
      <c r="H53" s="65"/>
      <c r="L53" s="62"/>
      <c r="M53" s="186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17954.509999999998</v>
      </c>
      <c r="D54" s="93" t="s">
        <v>167</v>
      </c>
      <c r="E54" s="68"/>
      <c r="F54" s="88"/>
      <c r="G54" s="63"/>
      <c r="H54" s="63"/>
      <c r="L54" s="62"/>
      <c r="M54" s="186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295253.98</v>
      </c>
      <c r="D55" s="93" t="s">
        <v>165</v>
      </c>
      <c r="E55" s="68"/>
      <c r="G55" s="63"/>
      <c r="H55" s="63"/>
      <c r="L55" s="62"/>
      <c r="M55" s="186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86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287990.27</v>
      </c>
      <c r="D57" s="79" t="s">
        <v>59</v>
      </c>
      <c r="E57" s="68"/>
      <c r="G57" s="63"/>
      <c r="H57" s="63"/>
      <c r="L57" s="62"/>
      <c r="M57" s="186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287990.27</v>
      </c>
      <c r="D58" s="79" t="s">
        <v>59</v>
      </c>
      <c r="E58" s="68"/>
      <c r="G58" s="63"/>
      <c r="H58" s="63"/>
      <c r="L58" s="62"/>
      <c r="M58" s="186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86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86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 t="str">
        <f>IF(E69&gt;0,"Предоставляется",0)</f>
        <v>Предоставляется</v>
      </c>
      <c r="D69" s="95" t="s">
        <v>55</v>
      </c>
      <c r="E69" s="94">
        <v>92917.57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7039.21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96079.48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92917.57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92917.57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7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310189.94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2022-03-28T06:28:17Z</dcterms:modified>
</cp:coreProperties>
</file>