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8" i="2" l="1"/>
  <c r="D10" i="2" l="1"/>
  <c r="D7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D102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7" i="1"/>
  <c r="A96" i="1"/>
  <c r="G94" i="1"/>
  <c r="F94" i="1"/>
  <c r="D94" i="1"/>
  <c r="A94" i="1"/>
  <c r="K94" i="1"/>
  <c r="A119" i="1" l="1"/>
  <c r="A123" i="1"/>
  <c r="A118" i="1"/>
  <c r="A114" i="1"/>
  <c r="D118" i="1"/>
  <c r="A120" i="1"/>
  <c r="A124" i="1"/>
  <c r="F118" i="1"/>
  <c r="A121" i="1"/>
  <c r="A125" i="1"/>
  <c r="A140" i="1"/>
  <c r="A98" i="1"/>
  <c r="D134" i="1"/>
  <c r="A95" i="1"/>
  <c r="A136" i="1"/>
  <c r="F134" i="1"/>
  <c r="A137" i="1"/>
  <c r="A141" i="1"/>
  <c r="A108" i="1"/>
  <c r="F102" i="1"/>
  <c r="A109" i="1"/>
  <c r="A111" i="1"/>
  <c r="A106" i="1"/>
  <c r="D110" i="1"/>
  <c r="A112" i="1"/>
  <c r="A116" i="1"/>
  <c r="A138" i="1"/>
  <c r="A104" i="1"/>
  <c r="A105" i="1"/>
  <c r="A110" i="1"/>
  <c r="A115" i="1"/>
  <c r="A102" i="1"/>
  <c r="A103" i="1"/>
  <c r="A107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3" i="1"/>
  <c r="F187" i="1"/>
  <c r="F177" i="1"/>
  <c r="H178" i="1"/>
  <c r="H187" i="1"/>
  <c r="H166" i="1"/>
  <c r="H172" i="1"/>
  <c r="F178" i="1"/>
  <c r="F176" i="1"/>
  <c r="F172" i="1"/>
  <c r="F175" i="1"/>
  <c r="H175" i="1"/>
  <c r="H184" i="1"/>
  <c r="H182" i="1"/>
  <c r="F168" i="1"/>
  <c r="H176" i="1"/>
  <c r="H186" i="1"/>
  <c r="F170" i="1"/>
  <c r="F180" i="1"/>
  <c r="F182" i="1"/>
  <c r="F171" i="1"/>
  <c r="F181" i="1"/>
  <c r="F166" i="1"/>
  <c r="H167" i="1"/>
  <c r="F179" i="1"/>
  <c r="F165" i="1"/>
  <c r="H164" i="1"/>
  <c r="H168" i="1"/>
  <c r="F173" i="1"/>
  <c r="F184" i="1"/>
  <c r="F186" i="1"/>
  <c r="F167" i="1"/>
  <c r="H170" i="1"/>
  <c r="H177" i="1"/>
  <c r="H179" i="1"/>
  <c r="H165" i="1"/>
  <c r="H171" i="1"/>
  <c r="F164" i="1"/>
  <c r="H169" i="1"/>
  <c r="F169" i="1"/>
  <c r="H185" i="1"/>
  <c r="F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<sst xmlns="http://schemas.openxmlformats.org/spreadsheetml/2006/main" count="592" uniqueCount="229">
  <si>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</si>
  <si>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</si>
  <si>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</si>
  <si>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</si>
  <si>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</si>
  <si>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</si>
  <si>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</si>
  <si>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</si>
  <si>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</si>
  <si>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</si>
  <si>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</si>
  <si>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</si>
  <si>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</si>
  <si>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</si>
  <si>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</si>
  <si>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</si>
  <si>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</si>
  <si>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</si>
  <si>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</si>
  <si>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</si>
  <si>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</si>
  <si>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</si>
  <si>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</si>
  <si>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</si>
  <si>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</si>
  <si>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</si>
  <si>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</si>
  <si>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</si>
  <si>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</si>
  <si>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</si>
  <si>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</si>
  <si>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</si>
  <si>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</si>
  <si>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</si>
  <si>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</si>
  <si>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</si>
  <si>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</si>
  <si>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</si>
  <si>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</si>
  <si>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</si>
  <si>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</si>
  <si>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</si>
  <si>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</si>
  <si>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</si>
  <si>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</si>
  <si>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</si>
  <si>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</si>
  <si>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</si>
  <si>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</si>
  <si>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</si>
  <si>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</si>
  <si>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</si>
  <si>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</si>
  <si>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</si>
  <si>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</si>
  <si>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</si>
  <si>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</si>
  <si>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</si>
  <si>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</si>
  <si>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</si>
  <si>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</si>
  <si>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</si>
  <si>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</si>
  <si>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</si>
  <si>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</si>
  <si>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</si>
  <si>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</si>
  <si>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</si>
  <si>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</si>
  <si>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</si>
  <si>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</si>
  <si>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</si>
  <si>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</si>
  <si>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</si>
  <si>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</si>
  <si>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</si>
  <si>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</si>
  <si>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</si>
  <si>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</si>
  <si>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</si>
  <si>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</si>
  <si>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</si>
  <si>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</si>
  <si>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</si>
  <si>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</si>
  <si>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</si>
  <si>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</si>
  <si>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</si>
  <si>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</si>
  <si>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</si>
  <si>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</si>
  <si>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</si>
  <si>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</si>
  <si>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</si>
  <si>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</si>
  <si>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</si>
  <si>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</si>
  <si>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</si>
  <si>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</si>
  <si>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</si>
  <si>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</si>
  <si>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</si>
  <si>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</si>
  <si>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</si>
  <si>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</si>
  <si>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</si>
  <si>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</si>
  <si>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</si>
  <si>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</si>
  <si>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</si>
  <si>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</si>
  <si>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</si>
  <si>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</si>
  <si>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</si>
  <si>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</si>
  <si>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</si>
  <si>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</si>
  <si>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</si>
  <si>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</si>
  <si>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</si>
  <si>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</si>
  <si>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</si>
  <si>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</si>
  <si>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</si>
  <si>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</si>
  <si>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</si>
  <si>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</si>
  <si>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</si>
  <si>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</si>
  <si>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</si>
  <si>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</si>
  <si>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</si>
  <si>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</si>
  <si>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</si>
  <si>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</si>
  <si>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</si>
  <si>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</si>
  <si>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</si>
  <si>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</si>
  <si>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</si>
  <si>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</si>
  <si>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</si>
  <si>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</si>
  <si>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</si>
  <si>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</si>
  <si>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</si>
  <si>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</si>
  <si>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</si>
  <si>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</si>
  <si>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</si>
  <si>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</si>
  <si>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</si>
  <si>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</si>
  <si>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</si>
  <si>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</si>
  <si>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</si>
  <si>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</si>
  <si>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</si>
  <si>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</si>
  <si>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</si>
  <si>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</si>
  <si>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</si>
  <si>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</si>
  <si>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</si>
  <si>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</si>
  <si>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</si>
  <si>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</si>
  <si>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</si>
  <si>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</si>
  <si>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</si>
  <si>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</si>
  <si>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</si>
  <si>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</si>
  <si>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</si>
  <si>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</si>
  <si>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</si>
  <si>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118</t>
  </si>
  <si>
    <t>Отчет об исполнении договора управления многоквартирного дома 
Юбилейный, 118 в части текущего ремонта</t>
  </si>
  <si>
    <t>Работы (услуги) по управлению многоквартирным домом</t>
  </si>
  <si>
    <t>Техническое обслуживание средств автоматической системы пожарной сигнализации</t>
  </si>
  <si>
    <t>Техническое освидетельствование лифтов.</t>
  </si>
  <si>
    <t>площадь дома</t>
  </si>
  <si>
    <t>с 01.01.2019 на осн. Протокола №1-2 от 02.04.2018, Приказ №07 от 21.01.2019</t>
  </si>
  <si>
    <t>9620,2-710,2УК=8910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</si>
  <si>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</si>
  <si>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</si>
  <si>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</si>
  <si>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Начало отчетного периода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</si>
  <si>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</si>
  <si>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</si>
  <si>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</si>
  <si>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</si>
  <si>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</si>
  <si>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Восстановление магистрального провода электромагнитного замка (2 подъезд, 4 этаж).</t>
  </si>
  <si>
    <t>разово</t>
  </si>
  <si>
    <t>Приобретение и установка платы питания лифта (2 подъезд).</t>
  </si>
  <si>
    <t>Замена блока питания системы домофон (2 подъезд).</t>
  </si>
  <si>
    <t>Замена вызывного поста для лифтов (1 подъезд, 1 этаж).</t>
  </si>
  <si>
    <t>Монтаж дополнительных камер системы видеонаблюдения (4 шт.).</t>
  </si>
  <si>
    <t>Ремонт подъезда (укладка керамогранита на пол, 4 этаж).</t>
  </si>
  <si>
    <t>Приобретение дополнительных  материалов для укладки керамогранита на пол (клей 4 шт., алмазный диск 3 шт.)</t>
  </si>
  <si>
    <t>Приобретение и монтаж почтовых ящиков.</t>
  </si>
  <si>
    <t>АВР 5/21 от 19.04.2021, счет №068 от 27.03.2021, Обращение</t>
  </si>
  <si>
    <t>Генеральная уборка подъездов.</t>
  </si>
  <si>
    <t>АВР 6/21 от 11.05.2021, Решение, акт</t>
  </si>
  <si>
    <t>Приобретение и монтаж входной двери ( 1 подъезд, 5 этаж).</t>
  </si>
  <si>
    <t>Ремонт системы пожарной безопасности (замена извещателей ручного и дымового, АКБ).</t>
  </si>
  <si>
    <t>Установка аварийного освещения кабин лифтов.</t>
  </si>
  <si>
    <t>АВР 1/21 от 12.01.2021, счет №346 от 31.12.2020</t>
  </si>
  <si>
    <t>АВР 2/21 от 15.01.2021, счет №1 от 13.01.2021</t>
  </si>
  <si>
    <t>АВР 3/21 от 31.03.2021, счет №80 от 31.03.2021</t>
  </si>
  <si>
    <t>АВР 4/21 от 28.03.2021, счет №55 от 28.03.2021</t>
  </si>
  <si>
    <t>АВР 7/21 от 16.06.2021, Решение, счет №117 от 13.05.2021</t>
  </si>
  <si>
    <t>Приобретение и монтаж уличных урн около подъездов.</t>
  </si>
  <si>
    <t>АВР 13/21 от 02.07.2021, Решение, счет №195 от 16.06.2021</t>
  </si>
  <si>
    <t>АВР 8/21 от 16.06.2021, Решение, чеки</t>
  </si>
  <si>
    <t>АВР 9/21 от 17.06.20212, Решение, счет №30 от 14.04.2021</t>
  </si>
  <si>
    <t>АВР 10/21 от 17.06.2021, счет №УТ-35 от 09.02.2021</t>
  </si>
  <si>
    <t>АВР 11/21 от 01.06.2021, Решение, счет №225 от 30.03.2021</t>
  </si>
  <si>
    <t>АВР 12/21 от 01.06.2021, Решение, счет №95 от 31.05.2021</t>
  </si>
  <si>
    <t>Испытание пожарных кранов (26 шт.).</t>
  </si>
  <si>
    <t>Замена АКБ, блока бесперебойного питания и дымовых извещателей (3 шт.) системы пожарной безопасности.</t>
  </si>
  <si>
    <t>АВР 14/21 от 21.10.2021, счет №82 от 21.10.2021</t>
  </si>
  <si>
    <t>Ремонт кабельной линии связи системы видеонаблюдения (1 подъезд).</t>
  </si>
  <si>
    <t>АВР 15/21 от 01.07.2021, Решение, счет №1540 от 30.06.2021</t>
  </si>
  <si>
    <t>АВР 16/21 от 14.08.2021, счет №581 от 08.09.2021</t>
  </si>
  <si>
    <t>Коммунальные ресурсы на содержание общего имущества</t>
  </si>
  <si>
    <t>АВР 17/21 от 31.12.2021</t>
  </si>
  <si>
    <t xml:space="preserve">  -  ремонт в 2-х подъездах (незадымляемые лестницы)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</si>
</sst>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</cellStyleXfs>
  <cellXfs count="201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4" fontId="26" fillId="0" borderId="0" xfId="0" applyNumberFormat="1" applyFont="1" applyFill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4" fontId="19" fillId="0" borderId="0" xfId="6" applyNumberFormat="1" applyFill="1" applyBorder="1" applyAlignment="1"/>
    <xf numFmtId="4" fontId="34" fillId="0" borderId="0" xfId="6" applyNumberFormat="1" applyFont="1" applyFill="1" applyBorder="1" applyAlignment="1"/>
    <xf numFmtId="0" fontId="34" fillId="0" borderId="0" xfId="6" applyFont="1" applyFill="1" applyBorder="1" applyAlignment="1">
      <alignment horizontal="center"/>
    </xf>
    <xf numFmtId="0" fontId="19" fillId="0" borderId="0" xfId="6" applyFill="1" applyBorder="1" applyAlignment="1">
      <alignment horizontal="center"/>
    </xf>
    <xf numFmtId="0" fontId="19" fillId="0" borderId="0" xfId="6" applyFill="1" applyBorder="1" applyAlignment="1"/>
    <xf numFmtId="0" fontId="34" fillId="0" borderId="0" xfId="6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" fontId="27" fillId="0" borderId="0" xfId="0" applyNumberFormat="1" applyFont="1" applyFill="1"/>
    <xf numFmtId="0" fontId="18" fillId="0" borderId="0" xfId="6" applyFont="1" applyFill="1" applyBorder="1" applyAlignment="1">
      <alignment horizontal="center"/>
    </xf>
    <xf numFmtId="0" fontId="34" fillId="0" borderId="0" xfId="10" applyFont="1" applyFill="1" applyBorder="1" applyAlignment="1"/>
    <xf numFmtId="0" fontId="17" fillId="0" borderId="0" xfId="10" applyFill="1" applyBorder="1" applyAlignment="1">
      <alignment horizontal="center"/>
    </xf>
    <xf numFmtId="4" fontId="17" fillId="0" borderId="0" xfId="10" applyNumberFormat="1" applyFill="1" applyBorder="1" applyAlignment="1"/>
    <xf numFmtId="0" fontId="34" fillId="0" borderId="0" xfId="10" applyFont="1" applyFill="1" applyBorder="1"/>
    <xf numFmtId="0" fontId="15" fillId="0" borderId="0" xfId="10" applyFont="1" applyFill="1" applyBorder="1" applyAlignment="1">
      <alignment horizontal="center"/>
    </xf>
    <xf numFmtId="0" fontId="0" fillId="0" borderId="0" xfId="0" applyFill="1" applyBorder="1"/>
    <xf numFmtId="0" fontId="14" fillId="0" borderId="0" xfId="5" applyFont="1" applyFill="1" applyBorder="1" applyAlignment="1"/>
    <xf numFmtId="0" fontId="14" fillId="0" borderId="0" xfId="14" applyFont="1" applyFill="1" applyBorder="1" applyAlignment="1">
      <alignment horizontal="center"/>
    </xf>
    <xf numFmtId="0" fontId="17" fillId="0" borderId="0" xfId="14" applyFill="1" applyBorder="1" applyAlignment="1">
      <alignment horizontal="center"/>
    </xf>
    <xf numFmtId="4" fontId="34" fillId="0" borderId="0" xfId="14" applyNumberFormat="1" applyFont="1" applyFill="1" applyBorder="1" applyAlignment="1"/>
    <xf numFmtId="4" fontId="34" fillId="0" borderId="0" xfId="0" applyNumberFormat="1" applyFont="1" applyFill="1" applyBorder="1" applyAlignment="1">
      <alignment horizontal="left"/>
    </xf>
    <xf numFmtId="0" fontId="14" fillId="0" borderId="0" xfId="14" applyFont="1" applyFill="1" applyBorder="1" applyAlignment="1"/>
    <xf numFmtId="0" fontId="34" fillId="0" borderId="0" xfId="14" applyFont="1" applyFill="1" applyBorder="1" applyAlignment="1">
      <alignment horizontal="center"/>
    </xf>
    <xf numFmtId="0" fontId="13" fillId="0" borderId="0" xfId="6" applyFont="1" applyFill="1" applyBorder="1" applyAlignment="1">
      <alignment wrapText="1"/>
    </xf>
    <xf numFmtId="0" fontId="13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8" fillId="0" borderId="0" xfId="17" applyFont="1" applyFill="1" applyBorder="1" applyAlignment="1">
      <alignment wrapText="1"/>
    </xf>
    <xf numFmtId="0" fontId="10" fillId="0" borderId="0" xfId="10" applyFont="1" applyFill="1" applyBorder="1" applyAlignment="1">
      <alignment horizontal="center"/>
    </xf>
    <xf numFmtId="0" fontId="7" fillId="0" borderId="0" xfId="6" applyFont="1" applyFill="1" applyBorder="1"/>
    <xf numFmtId="0" fontId="9" fillId="0" borderId="0" xfId="6" applyFont="1" applyFill="1" applyBorder="1"/>
    <xf numFmtId="0" fontId="10" fillId="0" borderId="0" xfId="17" applyFont="1" applyFill="1" applyBorder="1" applyAlignment="1">
      <alignment wrapText="1"/>
    </xf>
    <xf numFmtId="0" fontId="11" fillId="0" borderId="0" xfId="10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9" fillId="0" borderId="0" xfId="6" applyFill="1" applyBorder="1" applyAlignment="1">
      <alignment horizontal="center" vertical="center"/>
    </xf>
    <xf numFmtId="0" fontId="6" fillId="0" borderId="0" xfId="6" applyFont="1" applyFill="1" applyBorder="1"/>
    <xf numFmtId="0" fontId="5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3" fillId="0" borderId="0" xfId="2" applyFont="1" applyFill="1" applyBorder="1" applyAlignment="1"/>
    <xf numFmtId="0" fontId="34" fillId="0" borderId="0" xfId="6" applyFont="1" applyFill="1" applyBorder="1" applyAlignment="1">
      <alignment wrapText="1"/>
    </xf>
    <xf numFmtId="4" fontId="34" fillId="0" borderId="0" xfId="6" applyNumberFormat="1" applyFont="1" applyFill="1" applyBorder="1" applyAlignment="1">
      <alignment horizontal="right"/>
    </xf>
    <xf numFmtId="0" fontId="5" fillId="0" borderId="0" xfId="2" applyFont="1" applyFill="1" applyBorder="1" applyAlignment="1"/>
    <xf numFmtId="0" fontId="2" fillId="0" borderId="0" xfId="6" applyFont="1" applyFill="1" applyBorder="1"/>
    <xf numFmtId="0" fontId="38" fillId="0" borderId="0" xfId="0" applyFont="1" applyFill="1" applyBorder="1" applyAlignment="1">
      <alignment horizontal="left" vertical="center"/>
    </xf>
    <xf numFmtId="4" fontId="38" fillId="0" borderId="0" xfId="0" applyNumberFormat="1" applyFont="1"/>
    <xf numFmtId="0" fontId="38" fillId="0" borderId="0" xfId="0" applyFont="1" applyBorder="1"/>
    <xf numFmtId="4" fontId="0" fillId="0" borderId="0" xfId="0" applyNumberFormat="1" applyBorder="1"/>
    <xf numFmtId="0" fontId="1" fillId="0" borderId="0" xfId="6" applyFont="1" applyFill="1" applyBorder="1"/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5 4" xfId="16"/>
    <cellStyle name="Обычный 6" xfId="6"/>
    <cellStyle name="Обычный 6 2" xfId="11"/>
    <cellStyle name="Обычный 6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0" sqref="K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87" t="s">
        <v>176</v>
      </c>
      <c r="B2" s="187"/>
      <c r="C2" s="187"/>
      <c r="D2" s="187"/>
      <c r="E2" s="187"/>
      <c r="F2" s="187"/>
      <c r="G2" s="187"/>
      <c r="H2" s="187"/>
      <c r="I2" s="187"/>
      <c r="J2" s="187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187</v>
      </c>
      <c r="E4" s="116">
        <v>44197</v>
      </c>
      <c r="K4" s="108"/>
      <c r="L4" s="108"/>
      <c r="M4" s="108"/>
      <c r="N4" s="108"/>
    </row>
    <row r="5" spans="1:18">
      <c r="A5" s="1" t="s">
        <v>0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81" t="s">
        <v>1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8"/>
      <c r="L8" s="188"/>
      <c r="M8" s="108"/>
      <c r="N8" s="108"/>
      <c r="O8" s="69" t="s">
        <v>81</v>
      </c>
      <c r="R8" s="16"/>
    </row>
    <row r="9" spans="1:18" ht="18.75" customHeight="1" outlineLevel="1">
      <c r="A9" s="181" t="s">
        <v>2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8"/>
      <c r="L9" s="188"/>
      <c r="M9" s="108"/>
      <c r="N9" s="108"/>
      <c r="O9" s="69" t="s">
        <v>82</v>
      </c>
    </row>
    <row r="10" spans="1:18" ht="18.75" customHeight="1" outlineLevel="1">
      <c r="A10" s="181" t="s">
        <v>3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1191530.33</v>
      </c>
      <c r="K10" s="108"/>
      <c r="L10" s="188"/>
      <c r="M10" s="108"/>
      <c r="N10" s="108"/>
      <c r="O10" s="69" t="s">
        <v>83</v>
      </c>
    </row>
    <row r="11" spans="1:18" outlineLevel="1">
      <c r="A11" s="181" t="s">
        <v>4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2324036.16</v>
      </c>
      <c r="K11" s="108"/>
      <c r="L11" s="188"/>
      <c r="M11" s="108"/>
      <c r="N11" s="108"/>
      <c r="O11" s="69" t="s">
        <v>84</v>
      </c>
    </row>
    <row r="12" spans="1:18" ht="18.75" customHeight="1" outlineLevel="1">
      <c r="A12" s="181" t="s">
        <v>5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1682516.16</v>
      </c>
      <c r="K12" s="108"/>
      <c r="L12" s="188"/>
      <c r="M12" s="108"/>
      <c r="N12" s="108"/>
      <c r="O12" s="69" t="s">
        <v>85</v>
      </c>
    </row>
    <row r="13" spans="1:18" ht="18.75" customHeight="1" outlineLevel="1">
      <c r="A13" s="181" t="s">
        <v>6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641520</v>
      </c>
      <c r="K13" s="108"/>
      <c r="L13" s="188"/>
      <c r="M13" s="108"/>
      <c r="N13" s="108"/>
      <c r="O13" s="69" t="s">
        <v>86</v>
      </c>
    </row>
    <row r="14" spans="1:18" ht="18.75" customHeight="1" outlineLevel="1">
      <c r="A14" s="181" t="s">
        <v>7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0</v>
      </c>
      <c r="K14" s="108"/>
      <c r="L14" s="188"/>
      <c r="M14" s="108"/>
      <c r="N14" s="108"/>
      <c r="O14" s="69" t="s">
        <v>87</v>
      </c>
    </row>
    <row r="15" spans="1:18" ht="18.75" customHeight="1" outlineLevel="1">
      <c r="A15" s="181" t="s">
        <v>8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2333247.58</v>
      </c>
      <c r="K15" s="108"/>
      <c r="L15" s="188"/>
      <c r="M15" s="108"/>
      <c r="N15" s="108"/>
      <c r="O15" s="69" t="s">
        <v>88</v>
      </c>
    </row>
    <row r="16" spans="1:18" ht="18.75" customHeight="1" outlineLevel="1">
      <c r="A16" s="181" t="s">
        <v>9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2333247.58</v>
      </c>
      <c r="K16" s="108"/>
      <c r="L16" s="188"/>
      <c r="M16" s="108"/>
      <c r="N16" s="108"/>
      <c r="O16" s="69" t="s">
        <v>89</v>
      </c>
    </row>
    <row r="17" spans="1:23" ht="18.75" customHeight="1" outlineLevel="1">
      <c r="A17" s="181" t="s">
        <v>10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8"/>
      <c r="L17" s="188"/>
      <c r="M17" s="108"/>
      <c r="N17" s="108"/>
      <c r="O17" s="69" t="s">
        <v>90</v>
      </c>
    </row>
    <row r="18" spans="1:23" ht="18.75" customHeight="1" outlineLevel="1">
      <c r="A18" s="181" t="s">
        <v>11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8"/>
      <c r="L18" s="188"/>
      <c r="M18" s="108"/>
      <c r="N18" s="108"/>
      <c r="O18" s="69" t="s">
        <v>91</v>
      </c>
    </row>
    <row r="19" spans="1:23" ht="18.75" customHeight="1" outlineLevel="1">
      <c r="A19" s="181" t="s">
        <v>12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8"/>
      <c r="L19" s="188"/>
      <c r="M19" s="108"/>
      <c r="N19" s="108"/>
      <c r="O19" s="69" t="s">
        <v>92</v>
      </c>
    </row>
    <row r="20" spans="1:23" ht="18.75" customHeight="1" outlineLevel="1">
      <c r="A20" s="181" t="s">
        <v>13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8"/>
      <c r="L20" s="188"/>
      <c r="M20" s="108"/>
      <c r="N20" s="108"/>
      <c r="O20" s="69" t="s">
        <v>93</v>
      </c>
    </row>
    <row r="21" spans="1:23" ht="18.75" customHeight="1" outlineLevel="1">
      <c r="A21" s="181" t="s">
        <v>14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2333247.58</v>
      </c>
      <c r="K21" s="108"/>
      <c r="L21" s="188"/>
      <c r="M21" s="108"/>
      <c r="N21" s="108"/>
      <c r="O21" s="69" t="s">
        <v>94</v>
      </c>
    </row>
    <row r="22" spans="1:23" ht="18.75" customHeight="1" outlineLevel="1">
      <c r="A22" s="181" t="s">
        <v>15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8"/>
      <c r="L22" s="188"/>
      <c r="M22" s="108"/>
      <c r="N22" s="108"/>
      <c r="O22" s="69" t="s">
        <v>95</v>
      </c>
    </row>
    <row r="23" spans="1:23" ht="18.75" customHeight="1" outlineLevel="1">
      <c r="A23" s="181" t="s">
        <v>16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8"/>
      <c r="L23" s="188"/>
      <c r="M23" s="108"/>
      <c r="N23" s="108"/>
      <c r="O23" s="69" t="s">
        <v>96</v>
      </c>
    </row>
    <row r="24" spans="1:23" ht="18.75" customHeight="1" outlineLevel="1">
      <c r="A24" s="181" t="s">
        <v>17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1182318.9100000001</v>
      </c>
      <c r="K24" s="108"/>
      <c r="L24" s="188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80" t="s">
        <v>18</v>
      </c>
      <c r="B27" s="180"/>
      <c r="C27" s="180"/>
      <c r="D27" s="180"/>
      <c r="E27" s="180"/>
      <c r="F27" s="180" t="s">
        <v>19</v>
      </c>
      <c r="G27" s="180"/>
      <c r="H27" s="5" t="s">
        <v>56</v>
      </c>
      <c r="I27" s="180" t="s">
        <v>20</v>
      </c>
      <c r="J27" s="180"/>
      <c r="K27" s="108"/>
      <c r="L27" s="189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474724.80000000005</v>
      </c>
      <c r="G28" s="177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8"/>
      <c r="L28" s="189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310068</v>
      </c>
      <c r="G29" s="177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8"/>
      <c r="L29" s="189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133650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8"/>
      <c r="L30" s="189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122958</v>
      </c>
      <c r="G31" s="177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8"/>
      <c r="L31" s="189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8"/>
      <c r="L32" s="189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37422</v>
      </c>
      <c r="G33" s="177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8"/>
      <c r="L33" s="189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201009.59999999998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8"/>
      <c r="L34" s="189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2" t="str">
        <f>ПТО!A46</f>
        <v>Работы (услуги) по управлению многоквартирным домом</v>
      </c>
      <c r="B35" s="172"/>
      <c r="C35" s="172"/>
      <c r="D35" s="172"/>
      <c r="E35" s="172"/>
      <c r="F35" s="177">
        <f>VLOOKUP(A35,ПТО!$A$39:$D$53,2,FALSE)</f>
        <v>411642</v>
      </c>
      <c r="G35" s="177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08"/>
      <c r="L35" s="189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72" t="str">
        <f>ПТО!A47</f>
        <v>Техническое обслуживание средств автоматической системы пожарной сигнализации</v>
      </c>
      <c r="B36" s="172"/>
      <c r="C36" s="172"/>
      <c r="D36" s="172"/>
      <c r="E36" s="172"/>
      <c r="F36" s="177">
        <f>VLOOKUP(A36,ПТО!$A$39:$D$53,2,FALSE)</f>
        <v>18176.400000000001</v>
      </c>
      <c r="G36" s="177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08"/>
      <c r="L36" s="189"/>
      <c r="M36" s="115"/>
      <c r="N36" s="108"/>
      <c r="O36" s="23" t="str">
        <f t="shared" si="1"/>
        <v>Техническое обслуживание средств автоматической системы пожарной сигнализации</v>
      </c>
      <c r="R36" s="1" t="s">
        <v>70</v>
      </c>
    </row>
    <row r="37" spans="1:18" ht="51" customHeight="1" outlineLevel="1">
      <c r="A37" s="172" t="str">
        <f>ПТО!A48</f>
        <v>Коммунальные ресурсы на содержание общего имущества</v>
      </c>
      <c r="B37" s="172"/>
      <c r="C37" s="172"/>
      <c r="D37" s="172"/>
      <c r="E37" s="172"/>
      <c r="F37" s="177">
        <f>VLOOKUP(A37,ПТО!$A$39:$D$53,2,FALSE)</f>
        <v>138013.96815</v>
      </c>
      <c r="G37" s="177"/>
      <c r="H37" s="42" t="str">
        <f>VLOOKUP(A37,ПТО!$A$39:$D$53,3,FALSE)</f>
        <v>Ежемесячно</v>
      </c>
      <c r="I37" s="173">
        <f>VLOOKUP(A37,ПТО!$A$39:$D$53,4,FALSE)</f>
        <v>12</v>
      </c>
      <c r="J37" s="173"/>
      <c r="K37" s="108"/>
      <c r="L37" s="189"/>
      <c r="M37" s="115"/>
      <c r="N37" s="108"/>
      <c r="O37" s="23" t="str">
        <f t="shared" si="1"/>
        <v>Коммунальные ресурсы на содержание общего имущества</v>
      </c>
      <c r="R37" s="1" t="s">
        <v>70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8"/>
      <c r="L38" s="189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8"/>
      <c r="L39" s="189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8"/>
      <c r="L40" s="189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8"/>
      <c r="L41" s="189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8"/>
      <c r="L42" s="189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7">
        <f>VLOOKUP(A43,ПТО!$A$2:$D$31,4,FALSE)</f>
        <v>30000</v>
      </c>
      <c r="G43" s="177"/>
      <c r="H43" s="19" t="str">
        <f>VLOOKUP(A43,ПТО!$A$2:$D$31,2,FALSE)</f>
        <v>ежегодно</v>
      </c>
      <c r="I43" s="173">
        <f>VLOOKUP(A43,ПТО!$A$2:$D$31,3,FALSE)</f>
        <v>4</v>
      </c>
      <c r="J43" s="173"/>
      <c r="K43" s="108"/>
      <c r="L43" s="189"/>
      <c r="M43" s="115"/>
      <c r="N43" s="108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2" t="str">
        <f>ПТО!A3</f>
        <v>Восстановление магистрального провода электромагнитного замка (2 подъезд, 4 этаж).</v>
      </c>
      <c r="B44" s="172"/>
      <c r="C44" s="172"/>
      <c r="D44" s="172"/>
      <c r="E44" s="172"/>
      <c r="F44" s="177">
        <f>VLOOKUP(A44,ПТО!$A$2:$D$31,4,FALSE)</f>
        <v>500</v>
      </c>
      <c r="G44" s="177"/>
      <c r="H44" s="25" t="str">
        <f>VLOOKUP(A44,ПТО!$A$2:$D$31,2,FALSE)</f>
        <v>разово</v>
      </c>
      <c r="I44" s="173">
        <f>VLOOKUP(A44,ПТО!$A$2:$D$31,3,FALSE)</f>
        <v>1</v>
      </c>
      <c r="J44" s="173"/>
      <c r="K44" s="108"/>
      <c r="L44" s="189"/>
      <c r="M44" s="115"/>
      <c r="N44" s="108"/>
      <c r="O44" s="23" t="str">
        <f t="shared" si="1"/>
        <v>Восстановление магистрального провода электромагнитного замка (2 подъезд, 4 этаж).</v>
      </c>
      <c r="R44" s="22" t="s">
        <v>71</v>
      </c>
    </row>
    <row r="45" spans="1:18" ht="51" customHeight="1" outlineLevel="1">
      <c r="A45" s="172" t="str">
        <f>ПТО!A4</f>
        <v>Приобретение и установка платы питания лифта (2 подъезд).</v>
      </c>
      <c r="B45" s="172"/>
      <c r="C45" s="172"/>
      <c r="D45" s="172"/>
      <c r="E45" s="172"/>
      <c r="F45" s="177">
        <f>VLOOKUP(A45,ПТО!$A$2:$D$31,4,FALSE)</f>
        <v>8750</v>
      </c>
      <c r="G45" s="177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8"/>
      <c r="L45" s="189"/>
      <c r="M45" s="115"/>
      <c r="N45" s="108"/>
      <c r="O45" s="23" t="str">
        <f t="shared" si="1"/>
        <v>Приобретение и установка платы питания лифта (2 подъезд).</v>
      </c>
      <c r="R45" s="22" t="s">
        <v>71</v>
      </c>
    </row>
    <row r="46" spans="1:18" ht="51" customHeight="1" outlineLevel="1">
      <c r="A46" s="172" t="str">
        <f>ПТО!A5</f>
        <v>Замена блока питания системы домофон (2 подъезд).</v>
      </c>
      <c r="B46" s="172"/>
      <c r="C46" s="172"/>
      <c r="D46" s="172"/>
      <c r="E46" s="172"/>
      <c r="F46" s="177">
        <f>VLOOKUP(A46,ПТО!$A$2:$D$31,4,FALSE)</f>
        <v>1600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8"/>
      <c r="L46" s="189"/>
      <c r="M46" s="115"/>
      <c r="N46" s="108"/>
      <c r="O46" s="23" t="str">
        <f t="shared" si="1"/>
        <v>Замена блока питания системы домофон (2 подъезд).</v>
      </c>
      <c r="R46" s="22" t="s">
        <v>71</v>
      </c>
    </row>
    <row r="47" spans="1:18" ht="51" customHeight="1" outlineLevel="1">
      <c r="A47" s="172" t="str">
        <f>ПТО!A6</f>
        <v>Замена вызывного поста для лифтов (1 подъезд, 1 этаж).</v>
      </c>
      <c r="B47" s="172"/>
      <c r="C47" s="172"/>
      <c r="D47" s="172"/>
      <c r="E47" s="172"/>
      <c r="F47" s="177">
        <f>VLOOKUP(A47,ПТО!$A$2:$D$31,4,FALSE)</f>
        <v>2650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8"/>
      <c r="L47" s="189"/>
      <c r="M47" s="115"/>
      <c r="N47" s="108"/>
      <c r="O47" s="23" t="str">
        <f t="shared" si="1"/>
        <v>Замена вызывного поста для лифтов (1 подъезд, 1 этаж).</v>
      </c>
      <c r="R47" s="22" t="s">
        <v>71</v>
      </c>
    </row>
    <row r="48" spans="1:18" ht="51" customHeight="1" outlineLevel="1">
      <c r="A48" s="172" t="str">
        <f>ПТО!A7</f>
        <v>Ремонт подъезда (укладка керамогранита на пол, 4 этаж).</v>
      </c>
      <c r="B48" s="172"/>
      <c r="C48" s="172"/>
      <c r="D48" s="172"/>
      <c r="E48" s="172"/>
      <c r="F48" s="177">
        <f>VLOOKUP(A48,ПТО!$A$2:$D$31,4,FALSE)</f>
        <v>85008.299999999988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8"/>
      <c r="L48" s="189"/>
      <c r="M48" s="115"/>
      <c r="N48" s="108"/>
      <c r="O48" s="23" t="str">
        <f t="shared" si="1"/>
        <v>Ремонт подъезда (укладка керамогранита на пол, 4 этаж).</v>
      </c>
      <c r="R48" s="22" t="s">
        <v>71</v>
      </c>
    </row>
    <row r="49" spans="1:18" ht="51" customHeight="1" outlineLevel="1">
      <c r="A49" s="172" t="str">
        <f>ПТО!A8</f>
        <v>Генеральная уборка подъездов.</v>
      </c>
      <c r="B49" s="172"/>
      <c r="C49" s="172"/>
      <c r="D49" s="172"/>
      <c r="E49" s="172"/>
      <c r="F49" s="177">
        <f>VLOOKUP(A49,ПТО!$A$2:$D$31,4,FALSE)</f>
        <v>80813.789999999994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8"/>
      <c r="L49" s="189"/>
      <c r="M49" s="115"/>
      <c r="N49" s="108"/>
      <c r="O49" s="23" t="str">
        <f t="shared" si="1"/>
        <v>Генеральная уборка подъездов.</v>
      </c>
      <c r="R49" s="22" t="s">
        <v>71</v>
      </c>
    </row>
    <row r="50" spans="1:18" ht="51" customHeight="1" outlineLevel="1">
      <c r="A50" s="172" t="str">
        <f>ПТО!A9</f>
        <v>Приобретение и монтаж входной двери ( 1 подъезд, 5 этаж).</v>
      </c>
      <c r="B50" s="172"/>
      <c r="C50" s="172"/>
      <c r="D50" s="172"/>
      <c r="E50" s="172"/>
      <c r="F50" s="177">
        <f>VLOOKUP(A50,ПТО!$A$2:$D$31,4,FALSE)</f>
        <v>13400</v>
      </c>
      <c r="G50" s="177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08"/>
      <c r="L50" s="189"/>
      <c r="M50" s="115"/>
      <c r="N50" s="108"/>
      <c r="O50" s="23" t="str">
        <f t="shared" si="1"/>
        <v>Приобретение и монтаж входной двери ( 1 подъезд, 5 этаж).</v>
      </c>
      <c r="R50" s="22" t="s">
        <v>71</v>
      </c>
    </row>
    <row r="51" spans="1:18" ht="51" customHeight="1" outlineLevel="1">
      <c r="A51" s="172" t="str">
        <f>ПТО!A10</f>
        <v>Приобретение дополнительных  материалов для укладки керамогранита на пол (клей 4 шт., алмазный диск 3 шт.)</v>
      </c>
      <c r="B51" s="172"/>
      <c r="C51" s="172"/>
      <c r="D51" s="172"/>
      <c r="E51" s="172"/>
      <c r="F51" s="177">
        <f>VLOOKUP(A51,ПТО!$A$2:$D$31,4,FALSE)</f>
        <v>3810</v>
      </c>
      <c r="G51" s="177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08"/>
      <c r="L51" s="189"/>
      <c r="M51" s="115"/>
      <c r="N51" s="108"/>
      <c r="O51" s="23" t="str">
        <f t="shared" si="1"/>
        <v>Приобретение дополнительных  материалов для укладки керамогранита на пол (клей 4 шт., алмазный диск 3 шт.)</v>
      </c>
      <c r="R51" s="22" t="s">
        <v>71</v>
      </c>
    </row>
    <row r="52" spans="1:18" ht="51" customHeight="1" outlineLevel="1">
      <c r="A52" s="172" t="str">
        <f>ПТО!A11</f>
        <v>Монтаж дополнительных камер системы видеонаблюдения (4 шт.).</v>
      </c>
      <c r="B52" s="172"/>
      <c r="C52" s="172"/>
      <c r="D52" s="172"/>
      <c r="E52" s="172"/>
      <c r="F52" s="177">
        <f>VLOOKUP(A52,ПТО!$A$2:$D$31,4,FALSE)</f>
        <v>45112</v>
      </c>
      <c r="G52" s="177"/>
      <c r="H52" s="25" t="str">
        <f>VLOOKUP(A52,ПТО!$A$2:$D$31,2,FALSE)</f>
        <v>разово</v>
      </c>
      <c r="I52" s="173">
        <f>VLOOKUP(A52,ПТО!$A$2:$D$31,3,FALSE)</f>
        <v>1</v>
      </c>
      <c r="J52" s="173"/>
      <c r="K52" s="108"/>
      <c r="L52" s="189"/>
      <c r="M52" s="115"/>
      <c r="N52" s="108"/>
      <c r="O52" s="23" t="str">
        <f t="shared" si="1"/>
        <v>Монтаж дополнительных камер системы видеонаблюдения (4 шт.).</v>
      </c>
      <c r="R52" s="22" t="s">
        <v>71</v>
      </c>
    </row>
    <row r="53" spans="1:18" ht="51" customHeight="1" outlineLevel="1">
      <c r="A53" s="172" t="str">
        <f>ПТО!A12</f>
        <v>Приобретение и монтаж почтовых ящиков.</v>
      </c>
      <c r="B53" s="172"/>
      <c r="C53" s="172"/>
      <c r="D53" s="172"/>
      <c r="E53" s="172"/>
      <c r="F53" s="177">
        <f>VLOOKUP(A53,ПТО!$A$2:$D$31,4,FALSE)</f>
        <v>68506.399999999994</v>
      </c>
      <c r="G53" s="177"/>
      <c r="H53" s="25" t="str">
        <f>VLOOKUP(A53,ПТО!$A$2:$D$31,2,FALSE)</f>
        <v>разово</v>
      </c>
      <c r="I53" s="173">
        <f>VLOOKUP(A53,ПТО!$A$2:$D$31,3,FALSE)</f>
        <v>1</v>
      </c>
      <c r="J53" s="173"/>
      <c r="K53" s="108"/>
      <c r="L53" s="189"/>
      <c r="M53" s="115"/>
      <c r="N53" s="108"/>
      <c r="O53" s="23" t="str">
        <f t="shared" si="1"/>
        <v>Приобретение и монтаж почтовых ящиков.</v>
      </c>
      <c r="R53" s="22" t="s">
        <v>71</v>
      </c>
    </row>
    <row r="54" spans="1:18" ht="51" customHeight="1" outlineLevel="1">
      <c r="A54" s="172" t="str">
        <f>ПТО!A13</f>
        <v>Ремонт системы пожарной безопасности (замена извещателей ручного и дымового, АКБ).</v>
      </c>
      <c r="B54" s="172"/>
      <c r="C54" s="172"/>
      <c r="D54" s="172"/>
      <c r="E54" s="172"/>
      <c r="F54" s="177">
        <f>VLOOKUP(A54,ПТО!$A$2:$D$31,4,FALSE)</f>
        <v>2810</v>
      </c>
      <c r="G54" s="177"/>
      <c r="H54" s="25" t="str">
        <f>VLOOKUP(A54,ПТО!$A$2:$D$31,2,FALSE)</f>
        <v>разово</v>
      </c>
      <c r="I54" s="173">
        <f>VLOOKUP(A54,ПТО!$A$2:$D$31,3,FALSE)</f>
        <v>1</v>
      </c>
      <c r="J54" s="173"/>
      <c r="K54" s="108"/>
      <c r="L54" s="189"/>
      <c r="M54" s="115"/>
      <c r="N54" s="108"/>
      <c r="O54" s="23" t="str">
        <f t="shared" si="1"/>
        <v>Ремонт системы пожарной безопасности (замена извещателей ручного и дымового, АКБ).</v>
      </c>
      <c r="R54" s="22" t="s">
        <v>71</v>
      </c>
    </row>
    <row r="55" spans="1:18" ht="51" customHeight="1" outlineLevel="1">
      <c r="A55" s="172" t="str">
        <f>ПТО!A14</f>
        <v>Установка аварийного освещения кабин лифтов.</v>
      </c>
      <c r="B55" s="172"/>
      <c r="C55" s="172"/>
      <c r="D55" s="172"/>
      <c r="E55" s="172"/>
      <c r="F55" s="177">
        <f>VLOOKUP(A55,ПТО!$A$2:$D$31,4,FALSE)</f>
        <v>5516</v>
      </c>
      <c r="G55" s="177"/>
      <c r="H55" s="25" t="str">
        <f>VLOOKUP(A55,ПТО!$A$2:$D$31,2,FALSE)</f>
        <v>разово</v>
      </c>
      <c r="I55" s="173">
        <f>VLOOKUP(A55,ПТО!$A$2:$D$31,3,FALSE)</f>
        <v>1</v>
      </c>
      <c r="J55" s="173"/>
      <c r="K55" s="108"/>
      <c r="L55" s="189"/>
      <c r="M55" s="115"/>
      <c r="N55" s="108"/>
      <c r="O55" s="23" t="str">
        <f t="shared" si="1"/>
        <v>Установка аварийного освещения кабин лифтов.</v>
      </c>
      <c r="R55" s="22" t="s">
        <v>71</v>
      </c>
    </row>
    <row r="56" spans="1:18" ht="51" customHeight="1" outlineLevel="1">
      <c r="A56" s="172" t="str">
        <f>ПТО!A15</f>
        <v>Приобретение и монтаж уличных урн около подъездов.</v>
      </c>
      <c r="B56" s="172"/>
      <c r="C56" s="172"/>
      <c r="D56" s="172"/>
      <c r="E56" s="172"/>
      <c r="F56" s="177">
        <f>VLOOKUP(A56,ПТО!$A$2:$D$31,4,FALSE)</f>
        <v>4680.6000000000004</v>
      </c>
      <c r="G56" s="177"/>
      <c r="H56" s="25" t="str">
        <f>VLOOKUP(A56,ПТО!$A$2:$D$31,2,FALSE)</f>
        <v>разово</v>
      </c>
      <c r="I56" s="173">
        <f>VLOOKUP(A56,ПТО!$A$2:$D$31,3,FALSE)</f>
        <v>1</v>
      </c>
      <c r="J56" s="173"/>
      <c r="K56" s="108"/>
      <c r="L56" s="189"/>
      <c r="M56" s="115"/>
      <c r="N56" s="108"/>
      <c r="O56" s="23" t="str">
        <f t="shared" si="1"/>
        <v>Приобретение и монтаж уличных урн около подъездов.</v>
      </c>
      <c r="R56" s="22" t="s">
        <v>71</v>
      </c>
    </row>
    <row r="57" spans="1:18" ht="51" customHeight="1" outlineLevel="1">
      <c r="A57" s="172" t="str">
        <f>ПТО!A16</f>
        <v>Ремонт кабельной линии связи системы видеонаблюдения (1 подъезд).</v>
      </c>
      <c r="B57" s="172"/>
      <c r="C57" s="172"/>
      <c r="D57" s="172"/>
      <c r="E57" s="172"/>
      <c r="F57" s="177">
        <f>VLOOKUP(A57,ПТО!$A$2:$D$31,4,FALSE)</f>
        <v>1500</v>
      </c>
      <c r="G57" s="177"/>
      <c r="H57" s="25" t="str">
        <f>VLOOKUP(A57,ПТО!$A$2:$D$31,2,FALSE)</f>
        <v>разово</v>
      </c>
      <c r="I57" s="173">
        <f>VLOOKUP(A57,ПТО!$A$2:$D$31,3,FALSE)</f>
        <v>1</v>
      </c>
      <c r="J57" s="173"/>
      <c r="K57" s="108"/>
      <c r="L57" s="189"/>
      <c r="M57" s="115"/>
      <c r="N57" s="108"/>
      <c r="O57" s="23" t="str">
        <f t="shared" si="1"/>
        <v>Ремонт кабельной линии связи системы видеонаблюдения (1 подъезд).</v>
      </c>
      <c r="R57" s="22" t="s">
        <v>71</v>
      </c>
    </row>
    <row r="58" spans="1:18" ht="51" customHeight="1" outlineLevel="1">
      <c r="A58" s="172" t="str">
        <f>ПТО!A17</f>
        <v>Испытание пожарных кранов (26 шт.).</v>
      </c>
      <c r="B58" s="172"/>
      <c r="C58" s="172"/>
      <c r="D58" s="172"/>
      <c r="E58" s="172"/>
      <c r="F58" s="177">
        <f>VLOOKUP(A58,ПТО!$A$2:$D$31,4,FALSE)</f>
        <v>6500</v>
      </c>
      <c r="G58" s="177"/>
      <c r="H58" s="25" t="str">
        <f>VLOOKUP(A58,ПТО!$A$2:$D$31,2,FALSE)</f>
        <v>разово</v>
      </c>
      <c r="I58" s="173">
        <f>VLOOKUP(A58,ПТО!$A$2:$D$31,3,FALSE)</f>
        <v>1</v>
      </c>
      <c r="J58" s="173"/>
      <c r="K58" s="108"/>
      <c r="L58" s="189"/>
      <c r="M58" s="115"/>
      <c r="N58" s="108"/>
      <c r="O58" s="23" t="str">
        <f t="shared" si="1"/>
        <v>Испытание пожарных кранов (26 шт.).</v>
      </c>
      <c r="R58" s="22" t="s">
        <v>71</v>
      </c>
    </row>
    <row r="59" spans="1:18" ht="51" customHeight="1" outlineLevel="1">
      <c r="A59" s="172" t="str">
        <f>ПТО!A18</f>
        <v>Замена АКБ, блока бесперебойного питания и дымовых извещателей (3 шт.) системы пожарной безопасности.</v>
      </c>
      <c r="B59" s="172"/>
      <c r="C59" s="172"/>
      <c r="D59" s="172"/>
      <c r="E59" s="172"/>
      <c r="F59" s="177">
        <f>VLOOKUP(A59,ПТО!$A$2:$D$31,4,FALSE)</f>
        <v>4203</v>
      </c>
      <c r="G59" s="177"/>
      <c r="H59" s="25" t="str">
        <f>VLOOKUP(A59,ПТО!$A$2:$D$31,2,FALSE)</f>
        <v>разово</v>
      </c>
      <c r="I59" s="173">
        <f>VLOOKUP(A59,ПТО!$A$2:$D$31,3,FALSE)</f>
        <v>1</v>
      </c>
      <c r="J59" s="173"/>
      <c r="K59" s="108"/>
      <c r="L59" s="189"/>
      <c r="M59" s="115"/>
      <c r="N59" s="108"/>
      <c r="O59" s="23" t="str">
        <f t="shared" si="1"/>
        <v>Замена АКБ, блока бесперебойного питания и дымовых извещателей (3 шт.) системы пожарной безопасности.</v>
      </c>
      <c r="R59" s="22" t="s">
        <v>71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8"/>
      <c r="L60" s="189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8"/>
      <c r="L61" s="189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8"/>
      <c r="L62" s="189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8"/>
      <c r="L63" s="189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8"/>
      <c r="L64" s="189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8"/>
      <c r="L65" s="189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8"/>
      <c r="L66" s="189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8"/>
      <c r="L67" s="189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8"/>
      <c r="L68" s="189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8"/>
      <c r="L69" s="189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8"/>
      <c r="L70" s="189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5"/>
      <c r="L71" s="189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8"/>
      <c r="L72" s="189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90" t="s">
        <v>26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8"/>
      <c r="L75" s="192"/>
      <c r="M75" s="108"/>
      <c r="N75" s="108"/>
      <c r="O75" s="69" t="s">
        <v>98</v>
      </c>
    </row>
    <row r="76" spans="1:16384" ht="18.75" customHeight="1" outlineLevel="1">
      <c r="A76" s="190" t="s">
        <v>27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8"/>
      <c r="L76" s="192"/>
      <c r="M76" s="108"/>
      <c r="N76" s="108"/>
      <c r="O76" s="69" t="s">
        <v>99</v>
      </c>
    </row>
    <row r="77" spans="1:16384" ht="21.75" customHeight="1" outlineLevel="1">
      <c r="A77" s="190" t="s">
        <v>28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8"/>
      <c r="L77" s="192"/>
      <c r="M77" s="108"/>
      <c r="N77" s="108"/>
      <c r="O77" s="69" t="s">
        <v>100</v>
      </c>
    </row>
    <row r="78" spans="1:16384" ht="18.75" customHeight="1" outlineLevel="1">
      <c r="A78" s="190" t="s">
        <v>29</v>
      </c>
      <c r="B78" s="190"/>
      <c r="C78" s="190"/>
      <c r="D78" s="190"/>
      <c r="E78" s="190"/>
      <c r="F78" s="190"/>
      <c r="G78" s="190"/>
      <c r="H78" s="190"/>
      <c r="I78" s="190"/>
      <c r="J78" s="96">
        <f>VLOOKUP(O78,АО,3,FALSE)</f>
        <v>0</v>
      </c>
      <c r="K78" s="108"/>
      <c r="L78" s="192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70" t="s">
        <v>1</v>
      </c>
      <c r="B81" s="170"/>
      <c r="C81" s="170"/>
      <c r="D81" s="170"/>
      <c r="E81" s="170"/>
      <c r="F81" s="170"/>
      <c r="G81" s="170"/>
      <c r="H81" s="170"/>
      <c r="I81" s="170"/>
      <c r="J81" s="96">
        <f t="shared" ref="J81:J90" si="2">VLOOKUP(O81,АО,3,FALSE)</f>
        <v>0</v>
      </c>
      <c r="K81" s="108"/>
      <c r="L81" s="178"/>
      <c r="M81" s="108"/>
      <c r="N81" s="108"/>
      <c r="O81" s="69" t="s">
        <v>102</v>
      </c>
    </row>
    <row r="82" spans="1:15" outlineLevel="1">
      <c r="A82" s="170" t="s">
        <v>2</v>
      </c>
      <c r="B82" s="170"/>
      <c r="C82" s="170"/>
      <c r="D82" s="170"/>
      <c r="E82" s="170"/>
      <c r="F82" s="170"/>
      <c r="G82" s="170"/>
      <c r="H82" s="170"/>
      <c r="I82" s="170"/>
      <c r="J82" s="96">
        <f t="shared" si="2"/>
        <v>0</v>
      </c>
      <c r="K82" s="108"/>
      <c r="L82" s="178"/>
      <c r="M82" s="108"/>
      <c r="N82" s="108"/>
      <c r="O82" s="69" t="s">
        <v>103</v>
      </c>
    </row>
    <row r="83" spans="1:15" outlineLevel="1">
      <c r="A83" s="184" t="s">
        <v>3</v>
      </c>
      <c r="B83" s="185"/>
      <c r="C83" s="185"/>
      <c r="D83" s="185"/>
      <c r="E83" s="185"/>
      <c r="F83" s="185"/>
      <c r="G83" s="185"/>
      <c r="H83" s="185"/>
      <c r="I83" s="186"/>
      <c r="J83" s="96">
        <f t="shared" si="2"/>
        <v>199259.58</v>
      </c>
      <c r="K83" s="108"/>
      <c r="L83" s="178"/>
      <c r="M83" s="108"/>
      <c r="N83" s="108"/>
      <c r="O83" s="69" t="s">
        <v>104</v>
      </c>
    </row>
    <row r="84" spans="1:15" outlineLevel="1">
      <c r="A84" s="184" t="s">
        <v>15</v>
      </c>
      <c r="B84" s="185"/>
      <c r="C84" s="185"/>
      <c r="D84" s="185"/>
      <c r="E84" s="185"/>
      <c r="F84" s="185"/>
      <c r="G84" s="185"/>
      <c r="H84" s="185"/>
      <c r="I84" s="186"/>
      <c r="J84" s="96">
        <f t="shared" si="2"/>
        <v>0</v>
      </c>
      <c r="K84" s="108"/>
      <c r="L84" s="178"/>
      <c r="M84" s="108"/>
      <c r="N84" s="108"/>
      <c r="O84" s="69" t="s">
        <v>105</v>
      </c>
    </row>
    <row r="85" spans="1:15" outlineLevel="1">
      <c r="A85" s="184" t="s">
        <v>16</v>
      </c>
      <c r="B85" s="185"/>
      <c r="C85" s="185"/>
      <c r="D85" s="185"/>
      <c r="E85" s="185"/>
      <c r="F85" s="185"/>
      <c r="G85" s="185"/>
      <c r="H85" s="185"/>
      <c r="I85" s="186"/>
      <c r="J85" s="96">
        <f t="shared" si="2"/>
        <v>0</v>
      </c>
      <c r="K85" s="108"/>
      <c r="L85" s="178"/>
      <c r="M85" s="108"/>
      <c r="N85" s="108"/>
      <c r="O85" s="69" t="s">
        <v>106</v>
      </c>
    </row>
    <row r="86" spans="1:15" outlineLevel="1">
      <c r="A86" s="184" t="s">
        <v>17</v>
      </c>
      <c r="B86" s="185"/>
      <c r="C86" s="185"/>
      <c r="D86" s="185"/>
      <c r="E86" s="185"/>
      <c r="F86" s="185"/>
      <c r="G86" s="185"/>
      <c r="H86" s="185"/>
      <c r="I86" s="186"/>
      <c r="J86" s="96">
        <f t="shared" si="2"/>
        <v>205894.36</v>
      </c>
      <c r="K86" s="108"/>
      <c r="L86" s="178"/>
      <c r="M86" s="108"/>
      <c r="N86" s="108"/>
      <c r="O86" s="69" t="s">
        <v>107</v>
      </c>
    </row>
    <row r="87" spans="1:15" ht="18.75" customHeight="1" outlineLevel="1">
      <c r="A87" s="184" t="s">
        <v>26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8"/>
      <c r="L87" s="178"/>
      <c r="M87" s="108"/>
      <c r="N87" s="108"/>
      <c r="O87" s="69" t="s">
        <v>108</v>
      </c>
    </row>
    <row r="88" spans="1:15" ht="18.75" customHeight="1" outlineLevel="1">
      <c r="A88" s="184" t="s">
        <v>27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8"/>
      <c r="L88" s="178"/>
      <c r="M88" s="108"/>
      <c r="N88" s="108"/>
      <c r="O88" s="69" t="s">
        <v>109</v>
      </c>
    </row>
    <row r="89" spans="1:15" ht="18.75" customHeight="1" outlineLevel="1">
      <c r="A89" s="184" t="s">
        <v>28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8"/>
      <c r="L89" s="178"/>
      <c r="M89" s="108"/>
      <c r="N89" s="108"/>
      <c r="O89" s="69" t="s">
        <v>110</v>
      </c>
    </row>
    <row r="90" spans="1:15" ht="18.75" customHeight="1" outlineLevel="1">
      <c r="A90" s="184" t="s">
        <v>29</v>
      </c>
      <c r="B90" s="185"/>
      <c r="C90" s="185"/>
      <c r="D90" s="185"/>
      <c r="E90" s="185"/>
      <c r="F90" s="185"/>
      <c r="G90" s="185"/>
      <c r="H90" s="185"/>
      <c r="I90" s="186"/>
      <c r="J90" s="96">
        <f t="shared" si="2"/>
        <v>0</v>
      </c>
      <c r="K90" s="108"/>
      <c r="L90" s="178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93" t="s">
        <v>47</v>
      </c>
      <c r="B93" s="193"/>
      <c r="C93" s="193"/>
      <c r="D93" s="194" t="s">
        <v>48</v>
      </c>
      <c r="E93" s="194"/>
      <c r="F93" s="10" t="s">
        <v>49</v>
      </c>
      <c r="G93" s="193" t="s">
        <v>50</v>
      </c>
      <c r="H93" s="193"/>
      <c r="I93" s="193"/>
      <c r="J93" s="193"/>
      <c r="K93" s="108"/>
      <c r="L93" s="108"/>
      <c r="M93" s="108"/>
      <c r="N93" s="108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5" t="str">
        <f>IF(VLOOKUP("эл",АО,3,FALSE)&gt;0,VLOOKUP("эл",АО,3,FALSE),0)</f>
        <v>Предоставляется</v>
      </c>
      <c r="E94" s="175"/>
      <c r="F94" s="13" t="str">
        <f>IF(VLOOKUP("эл",АО,3,FALSE)&gt;0,VLOOKUP("эл",АО,4,FALSE),0)</f>
        <v>кВт*ч</v>
      </c>
      <c r="G94" s="176">
        <f>VLOOKUP("эл",АО,5,FALSE)</f>
        <v>92542.8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outlineLevel="2">
      <c r="A95" s="191" t="str">
        <f>IF(VLOOKUP("эл",АО,3,FALSE)&gt;0,VLOOKUP("эл1",АО,2,FALSE),0)</f>
        <v>Общий объем потребления, нат. показ.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77119</v>
      </c>
      <c r="L95" s="179"/>
      <c r="O95" s="1" t="s">
        <v>112</v>
      </c>
    </row>
    <row r="96" spans="1:15" outlineLevel="2">
      <c r="A96" s="191" t="str">
        <f>IF(VLOOKUP("эл",АО,3,FALSE)&gt;0,VLOOKUP("эл2",АО,2,FALSE),0)</f>
        <v>Оплачено потребителями, руб.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102543.31</v>
      </c>
      <c r="L96" s="179"/>
      <c r="O96" s="1" t="s">
        <v>113</v>
      </c>
    </row>
    <row r="97" spans="1:15" outlineLevel="2">
      <c r="A97" s="191" t="str">
        <f>IF(VLOOKUP("эл",АО,3,FALSE)&gt;0,VLOOKUP("эл3",АО,2,FALSE),0)</f>
        <v>Задолженность потребителей, руб.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0</v>
      </c>
      <c r="L97" s="179"/>
      <c r="O97" s="1" t="s">
        <v>114</v>
      </c>
    </row>
    <row r="98" spans="1:15" ht="37.5" customHeight="1" outlineLevel="2">
      <c r="A98" s="191" t="str">
        <f>IF(VLOOKUP("эл",АО,3,FALSE)&gt;0,VLOOKUP("эл4",АО,2,FALSE),0)</f>
        <v>Начислено поставщиком (поставщиками) коммунального ресурса, руб.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92542.8</v>
      </c>
      <c r="L98" s="179"/>
      <c r="O98" s="1" t="s">
        <v>115</v>
      </c>
    </row>
    <row r="99" spans="1:15" outlineLevel="2">
      <c r="A99" s="191" t="str">
        <f>IF(VLOOKUP("эл",АО,3,FALSE)&gt;0,VLOOKUP("эл5",АО,2,FALSE),0)</f>
        <v>Оплачено поставщику (поставщикам) коммунального ресурса, руб.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92542.8</v>
      </c>
      <c r="L99" s="179"/>
      <c r="O99" s="1" t="s">
        <v>116</v>
      </c>
    </row>
    <row r="100" spans="1:15" ht="39" customHeight="1" outlineLevel="2">
      <c r="A100" s="19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117</v>
      </c>
    </row>
    <row r="101" spans="1:15" ht="34.5" customHeight="1" outlineLevel="2">
      <c r="A101" s="19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118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6">
        <f>VLOOKUP("хвс",АО,5,FALSE)</f>
        <v>204789.4</v>
      </c>
      <c r="H102" s="175"/>
      <c r="I102" s="175"/>
      <c r="J102" s="175"/>
      <c r="L102" s="179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15514.35</v>
      </c>
      <c r="L103" s="179"/>
      <c r="O103" s="1" t="s">
        <v>121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205564.07</v>
      </c>
      <c r="L104" s="179"/>
      <c r="O104" s="1" t="s">
        <v>122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0</v>
      </c>
      <c r="L105" s="179"/>
      <c r="O105" s="1" t="s">
        <v>123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204789.4</v>
      </c>
      <c r="L106" s="179"/>
      <c r="O106" s="1" t="s">
        <v>124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204789.4</v>
      </c>
      <c r="L107" s="179"/>
      <c r="O107" s="1" t="s">
        <v>125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126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127</v>
      </c>
    </row>
    <row r="110" spans="1:15" ht="27" customHeight="1" outlineLevel="1">
      <c r="A110" s="174" t="str">
        <f>IF(VLOOKUP("воо",АО,3,FALSE)&gt;0,"Водоотведение",0)</f>
        <v>Водоотведение</v>
      </c>
      <c r="B110" s="174"/>
      <c r="C110" s="174"/>
      <c r="D110" s="175" t="str">
        <f>IF(VLOOKUP("воо",АО,3,FALSE)&gt;0,VLOOKUP("воо",АО,3,FALSE),0)</f>
        <v>Предоставляется</v>
      </c>
      <c r="E110" s="175"/>
      <c r="F110" s="13" t="str">
        <f>IF(VLOOKUP("воо",АО,3,FALSE)&gt;0,VLOOKUP("воо",АО,4,FALSE),0)</f>
        <v>куб.м.</v>
      </c>
      <c r="G110" s="176">
        <f>VLOOKUP("воо",АО,5,FALSE)</f>
        <v>391505.56</v>
      </c>
      <c r="H110" s="175"/>
      <c r="I110" s="175"/>
      <c r="J110" s="175"/>
      <c r="L110" s="179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24408.080000000002</v>
      </c>
      <c r="L111" s="179"/>
      <c r="O111" s="1" t="s">
        <v>129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380632.56</v>
      </c>
      <c r="L112" s="179"/>
      <c r="O112" s="1" t="s">
        <v>130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10873</v>
      </c>
      <c r="L113" s="179"/>
      <c r="O113" s="1" t="s">
        <v>131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391505.56</v>
      </c>
      <c r="L114" s="179"/>
      <c r="O114" s="1" t="s">
        <v>132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391505.56</v>
      </c>
      <c r="L115" s="179"/>
      <c r="O115" s="1" t="s">
        <v>133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134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135</v>
      </c>
    </row>
    <row r="118" spans="1:15" ht="32.25" hidden="1" customHeight="1" outlineLevel="1">
      <c r="A118" s="174">
        <f>IF(VLOOKUP("тко",АО,3,FALSE)&gt;0,"Обращение с ТКО",0)</f>
        <v>0</v>
      </c>
      <c r="B118" s="174"/>
      <c r="C118" s="174"/>
      <c r="D118" s="175">
        <f>IF(VLOOKUP("тко",АО,3,FALSE)&gt;0,VLOOKUP("тко",АО,3,FALSE),0)</f>
        <v>0</v>
      </c>
      <c r="E118" s="175"/>
      <c r="F118" s="13">
        <f>IF(VLOOKUP("тко",АО,3,FALSE)&gt;0,VLOOKUP("тко",АО,4,FALSE),0)</f>
        <v>0</v>
      </c>
      <c r="G118" s="176">
        <f>VLOOKUP("тко",АО,5,FALSE)</f>
        <v>0</v>
      </c>
      <c r="H118" s="175"/>
      <c r="I118" s="175"/>
      <c r="J118" s="175"/>
      <c r="L118" s="47"/>
    </row>
    <row r="119" spans="1:15" ht="32.25" hidden="1" customHeight="1" outlineLevel="2">
      <c r="A119" s="170">
        <f t="shared" ref="A119:A125" si="8">IF(VLOOKUP("тко",АО,3,FALSE)&gt;0,VLOOKUP(O119,АО,2,FALSE),0)</f>
        <v>0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0">
        <f t="shared" si="8"/>
        <v>0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0">
        <f t="shared" si="8"/>
        <v>0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0">
        <f t="shared" si="8"/>
        <v>0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0">
        <f t="shared" si="8"/>
        <v>0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0">
        <f t="shared" si="8"/>
        <v>0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0">
        <f t="shared" si="8"/>
        <v>0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4" t="str">
        <f>IF(VLOOKUP("гвс",АО,3,FALSE)&gt;0,"Горячее водоснабжение",0)</f>
        <v>Горячее водоснабжение</v>
      </c>
      <c r="B126" s="174"/>
      <c r="C126" s="174"/>
      <c r="D126" s="175" t="str">
        <f>IF(VLOOKUP("гвс",АО,3,FALSE)&gt;0,VLOOKUP("гвс",АО,3,FALSE),0)</f>
        <v>Предоставляется</v>
      </c>
      <c r="E126" s="175"/>
      <c r="F126" s="13" t="str">
        <f>IF(VLOOKUP("гвс",АО,3,FALSE)&gt;0,VLOOKUP("гвс",АО,4,FALSE),0)</f>
        <v>куб.м.</v>
      </c>
      <c r="G126" s="176">
        <f>VLOOKUP("гвс",АО,5,FALSE)</f>
        <v>115498.12</v>
      </c>
      <c r="H126" s="175"/>
      <c r="I126" s="175"/>
      <c r="J126" s="175"/>
      <c r="L126" s="47"/>
    </row>
    <row r="127" spans="1:15" ht="32.25" hidden="1" customHeight="1" outlineLevel="2">
      <c r="A127" s="170" t="str">
        <f t="shared" ref="A127:A133" si="10">IF(VLOOKUP("гвс",АО,3,FALSE)&gt;0,VLOOKUP(O127,АО,2,FALSE),0)</f>
        <v>Общий объем потребления, нат. показ.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8749.86</v>
      </c>
      <c r="L127" s="47"/>
      <c r="O127" s="1" t="s">
        <v>145</v>
      </c>
    </row>
    <row r="128" spans="1:15" ht="32.25" hidden="1" customHeight="1" outlineLevel="2">
      <c r="A128" s="170" t="str">
        <f t="shared" si="10"/>
        <v>Оплачено потребителями, руб.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108961.16</v>
      </c>
      <c r="L128" s="47"/>
      <c r="O128" s="1" t="s">
        <v>146</v>
      </c>
    </row>
    <row r="129" spans="1:15" ht="32.25" hidden="1" customHeight="1" outlineLevel="2">
      <c r="A129" s="170" t="str">
        <f t="shared" si="10"/>
        <v>Задолженность потребителей, руб.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6536.9599999999919</v>
      </c>
      <c r="L129" s="47"/>
      <c r="O129" s="1" t="s">
        <v>147</v>
      </c>
    </row>
    <row r="130" spans="1:15" ht="32.25" hidden="1" customHeight="1" outlineLevel="2">
      <c r="A130" s="170" t="str">
        <f t="shared" si="10"/>
        <v>Начислено поставщиком (поставщиками) коммунального ресурса, руб.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115498.12</v>
      </c>
      <c r="L130" s="47"/>
      <c r="O130" s="1" t="s">
        <v>148</v>
      </c>
    </row>
    <row r="131" spans="1:15" ht="32.25" hidden="1" customHeight="1" outlineLevel="2">
      <c r="A131" s="170" t="str">
        <f t="shared" si="10"/>
        <v>Оплачено поставщику (поставщикам) коммунального ресурса, руб.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115498.12</v>
      </c>
      <c r="L131" s="47"/>
      <c r="O131" s="1" t="s">
        <v>149</v>
      </c>
    </row>
    <row r="132" spans="1:15" ht="32.25" hidden="1" customHeight="1" outlineLevel="2">
      <c r="A132" s="170" t="str">
        <f t="shared" si="10"/>
        <v>Задолженность перед поставщиком (поставщиками) коммунального ресурса, руб.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0" t="str">
        <f t="shared" si="10"/>
        <v>Размер пени и штрафов, уплаченных поставщику (поставщикам) коммунального ресурса, руб.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4">
        <f>IF(VLOOKUP("отопление",АО,3,FALSE)&gt;0,"Отопление",0)</f>
        <v>0</v>
      </c>
      <c r="B134" s="174"/>
      <c r="C134" s="174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5"/>
      <c r="I134" s="175"/>
      <c r="J134" s="175"/>
      <c r="L134" s="47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0" t="s">
        <v>44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11</v>
      </c>
      <c r="O144" t="s">
        <v>169</v>
      </c>
    </row>
    <row r="145" spans="1:15" ht="18.75" customHeight="1" outlineLevel="1">
      <c r="A145" s="170" t="s">
        <v>45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10</v>
      </c>
      <c r="L145" s="15"/>
      <c r="O145" t="s">
        <v>170</v>
      </c>
    </row>
    <row r="146" spans="1:15" ht="30" customHeight="1" outlineLevel="1">
      <c r="A146" s="170" t="s">
        <v>172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424471.54</v>
      </c>
      <c r="O146" t="s">
        <v>171</v>
      </c>
    </row>
    <row r="149" spans="1:15" ht="52.5" customHeight="1">
      <c r="A149" s="195" t="s">
        <v>177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187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97" t="s">
        <v>192</v>
      </c>
      <c r="B154" s="197"/>
      <c r="C154" s="197"/>
      <c r="D154" s="197"/>
      <c r="E154" s="27">
        <f>ПТО!G1</f>
        <v>-83417.759999999995</v>
      </c>
    </row>
    <row r="155" spans="1:15" ht="34.5" customHeight="1">
      <c r="A155" s="196" t="s">
        <v>191</v>
      </c>
      <c r="B155" s="196"/>
      <c r="C155" s="196"/>
      <c r="D155" s="196"/>
      <c r="E155" s="28">
        <f>J13</f>
        <v>641520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18</v>
      </c>
      <c r="B157" s="180"/>
      <c r="C157" s="180"/>
      <c r="D157" s="180"/>
      <c r="E157" s="180"/>
      <c r="F157" s="180" t="s">
        <v>19</v>
      </c>
      <c r="G157" s="180"/>
      <c r="H157" s="20" t="s">
        <v>56</v>
      </c>
      <c r="I157" s="180" t="s">
        <v>20</v>
      </c>
      <c r="J157" s="180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30000</v>
      </c>
      <c r="G158" s="177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4</v>
      </c>
      <c r="J158" s="17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Восстановление магистрального провода электромагнитного замка (2 подъезд, 4 этаж).</v>
      </c>
      <c r="B159" s="172"/>
      <c r="C159" s="172"/>
      <c r="D159" s="172"/>
      <c r="E159" s="172"/>
      <c r="F159" s="177">
        <f t="shared" si="15"/>
        <v>500</v>
      </c>
      <c r="G159" s="177"/>
      <c r="H159" s="24" t="str">
        <f t="shared" si="16"/>
        <v>разово</v>
      </c>
      <c r="I159" s="173">
        <f t="shared" si="17"/>
        <v>1</v>
      </c>
      <c r="J159" s="173"/>
      <c r="M159" s="22" t="s">
        <v>71</v>
      </c>
      <c r="N159" s="1" t="str">
        <v>Восстановление магистрального провода электромагнитного замка (2 подъезд, 4 этаж).</v>
      </c>
    </row>
    <row r="160" spans="1:15" ht="28.5" customHeight="1">
      <c r="A160" s="172" t="str">
        <f t="shared" si="14"/>
        <v>Приобретение и установка платы питания лифта (2 подъезд).</v>
      </c>
      <c r="B160" s="172"/>
      <c r="C160" s="172"/>
      <c r="D160" s="172"/>
      <c r="E160" s="172"/>
      <c r="F160" s="177">
        <f t="shared" si="15"/>
        <v>8750</v>
      </c>
      <c r="G160" s="177"/>
      <c r="H160" s="24" t="str">
        <f t="shared" si="16"/>
        <v>разово</v>
      </c>
      <c r="I160" s="173">
        <f t="shared" si="17"/>
        <v>1</v>
      </c>
      <c r="J160" s="173"/>
      <c r="M160" s="22" t="s">
        <v>71</v>
      </c>
      <c r="N160" s="1" t="str">
        <v>Приобретение и установка платы питания лифта (2 подъезд).</v>
      </c>
    </row>
    <row r="161" spans="1:14" ht="28.5" customHeight="1">
      <c r="A161" s="172" t="str">
        <f>IF(N161&gt;0,N161,0)</f>
        <v>Замена блока питания системы домофон (2 подъезд).</v>
      </c>
      <c r="B161" s="172"/>
      <c r="C161" s="172"/>
      <c r="D161" s="172"/>
      <c r="E161" s="172"/>
      <c r="F161" s="177">
        <f t="shared" si="15"/>
        <v>1600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71</v>
      </c>
      <c r="N161" s="1" t="str">
        <v>Замена блока питания системы домофон (2 подъезд).</v>
      </c>
    </row>
    <row r="162" spans="1:14" ht="28.5" customHeight="1">
      <c r="A162" s="172" t="str">
        <f t="shared" si="14"/>
        <v>Замена вызывного поста для лифтов (1 подъезд, 1 этаж).</v>
      </c>
      <c r="B162" s="172"/>
      <c r="C162" s="172"/>
      <c r="D162" s="172"/>
      <c r="E162" s="172"/>
      <c r="F162" s="177">
        <f t="shared" si="15"/>
        <v>2650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71</v>
      </c>
      <c r="N162" s="1" t="str">
        <v>Замена вызывного поста для лифтов (1 подъезд, 1 этаж).</v>
      </c>
    </row>
    <row r="163" spans="1:14" ht="28.5" customHeight="1">
      <c r="A163" s="172" t="str">
        <f t="shared" si="14"/>
        <v>Ремонт подъезда (укладка керамогранита на пол, 4 этаж).</v>
      </c>
      <c r="B163" s="172"/>
      <c r="C163" s="172"/>
      <c r="D163" s="172"/>
      <c r="E163" s="172"/>
      <c r="F163" s="177">
        <f t="shared" si="15"/>
        <v>85008.299999999988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71</v>
      </c>
      <c r="N163" s="1" t="str">
        <v>Ремонт подъезда (укладка керамогранита на пол, 4 этаж).</v>
      </c>
    </row>
    <row r="164" spans="1:14" ht="28.5" customHeight="1">
      <c r="A164" s="172" t="str">
        <f t="shared" ref="A164:A187" si="18">IF(N164&gt;0,N164,0)</f>
        <v>Генеральная уборка подъездов.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80813.789999999994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71</v>
      </c>
      <c r="N164" s="1" t="str">
        <v>Генеральная уборка подъездов.</v>
      </c>
    </row>
    <row r="165" spans="1:14" ht="28.5" customHeight="1">
      <c r="A165" s="172" t="str">
        <f t="shared" si="18"/>
        <v>Приобретение и монтаж входной двери ( 1 подъезд, 5 этаж).</v>
      </c>
      <c r="B165" s="172"/>
      <c r="C165" s="172"/>
      <c r="D165" s="172"/>
      <c r="E165" s="172"/>
      <c r="F165" s="177">
        <f t="shared" si="19"/>
        <v>13400</v>
      </c>
      <c r="G165" s="177"/>
      <c r="H165" s="29" t="str">
        <f t="shared" si="16"/>
        <v>разово</v>
      </c>
      <c r="I165" s="173">
        <f t="shared" si="20"/>
        <v>1</v>
      </c>
      <c r="J165" s="173"/>
      <c r="M165" s="22" t="s">
        <v>71</v>
      </c>
      <c r="N165" s="1" t="str">
        <v>Приобретение и монтаж входной двери ( 1 подъезд, 5 этаж).</v>
      </c>
    </row>
    <row r="166" spans="1:14" ht="28.5" customHeight="1">
      <c r="A166" s="172" t="str">
        <f t="shared" si="18"/>
        <v>Приобретение дополнительных  материалов для укладки керамогранита на пол (клей 4 шт., алмазный диск 3 шт.)</v>
      </c>
      <c r="B166" s="172"/>
      <c r="C166" s="172"/>
      <c r="D166" s="172"/>
      <c r="E166" s="172"/>
      <c r="F166" s="177">
        <f t="shared" si="19"/>
        <v>3810</v>
      </c>
      <c r="G166" s="177"/>
      <c r="H166" s="29" t="str">
        <f t="shared" si="16"/>
        <v>разово</v>
      </c>
      <c r="I166" s="173">
        <f t="shared" si="20"/>
        <v>1</v>
      </c>
      <c r="J166" s="173"/>
      <c r="M166" s="22" t="s">
        <v>71</v>
      </c>
      <c r="N166" s="1" t="str">
        <v>Приобретение дополнительных  материалов для укладки керамогранита на пол (клей 4 шт., алмазный диск 3 шт.)</v>
      </c>
    </row>
    <row r="167" spans="1:14" ht="28.5" customHeight="1">
      <c r="A167" s="172" t="str">
        <f t="shared" si="18"/>
        <v>Монтаж дополнительных камер системы видеонаблюдения (4 шт.).</v>
      </c>
      <c r="B167" s="172"/>
      <c r="C167" s="172"/>
      <c r="D167" s="172"/>
      <c r="E167" s="172"/>
      <c r="F167" s="177">
        <f t="shared" si="19"/>
        <v>45112</v>
      </c>
      <c r="G167" s="177"/>
      <c r="H167" s="29" t="str">
        <f t="shared" si="16"/>
        <v>разово</v>
      </c>
      <c r="I167" s="173">
        <f t="shared" si="20"/>
        <v>1</v>
      </c>
      <c r="J167" s="173"/>
      <c r="M167" s="22" t="s">
        <v>71</v>
      </c>
      <c r="N167" s="1" t="str">
        <v>Монтаж дополнительных камер системы видеонаблюдения (4 шт.).</v>
      </c>
    </row>
    <row r="168" spans="1:14" ht="28.5" customHeight="1">
      <c r="A168" s="172" t="str">
        <f t="shared" si="18"/>
        <v>Приобретение и монтаж почтовых ящиков.</v>
      </c>
      <c r="B168" s="172"/>
      <c r="C168" s="172"/>
      <c r="D168" s="172"/>
      <c r="E168" s="172"/>
      <c r="F168" s="177">
        <f t="shared" si="19"/>
        <v>68506.399999999994</v>
      </c>
      <c r="G168" s="177"/>
      <c r="H168" s="29" t="str">
        <f t="shared" si="16"/>
        <v>разово</v>
      </c>
      <c r="I168" s="173">
        <f t="shared" si="20"/>
        <v>1</v>
      </c>
      <c r="J168" s="173"/>
      <c r="M168" s="22" t="s">
        <v>71</v>
      </c>
      <c r="N168" s="1" t="str">
        <v>Приобретение и монтаж почтовых ящиков.</v>
      </c>
    </row>
    <row r="169" spans="1:14" ht="28.5" customHeight="1">
      <c r="A169" s="172" t="str">
        <f t="shared" si="18"/>
        <v>Ремонт системы пожарной безопасности (замена извещателей ручного и дымового, АКБ).</v>
      </c>
      <c r="B169" s="172"/>
      <c r="C169" s="172"/>
      <c r="D169" s="172"/>
      <c r="E169" s="172"/>
      <c r="F169" s="177">
        <f t="shared" si="19"/>
        <v>2810</v>
      </c>
      <c r="G169" s="177"/>
      <c r="H169" s="29" t="str">
        <f t="shared" si="16"/>
        <v>разово</v>
      </c>
      <c r="I169" s="173">
        <f t="shared" si="20"/>
        <v>1</v>
      </c>
      <c r="J169" s="173"/>
      <c r="M169" s="22" t="s">
        <v>71</v>
      </c>
      <c r="N169" s="1" t="str">
        <v>Ремонт системы пожарной безопасности (замена извещателей ручного и дымового, АКБ).</v>
      </c>
    </row>
    <row r="170" spans="1:14" ht="28.5" customHeight="1">
      <c r="A170" s="172" t="str">
        <f t="shared" si="18"/>
        <v>Установка аварийного освещения кабин лифтов.</v>
      </c>
      <c r="B170" s="172"/>
      <c r="C170" s="172"/>
      <c r="D170" s="172"/>
      <c r="E170" s="172"/>
      <c r="F170" s="177">
        <f t="shared" si="19"/>
        <v>5516</v>
      </c>
      <c r="G170" s="177"/>
      <c r="H170" s="29" t="str">
        <f t="shared" si="16"/>
        <v>разово</v>
      </c>
      <c r="I170" s="173">
        <f t="shared" si="20"/>
        <v>1</v>
      </c>
      <c r="J170" s="173"/>
      <c r="M170" s="22" t="s">
        <v>71</v>
      </c>
      <c r="N170" s="1" t="str">
        <v>Установка аварийного освещения кабин лифтов.</v>
      </c>
    </row>
    <row r="171" spans="1:14" ht="28.5" customHeight="1">
      <c r="A171" s="172" t="str">
        <f t="shared" si="18"/>
        <v>Приобретение и монтаж уличных урн около подъездов.</v>
      </c>
      <c r="B171" s="172"/>
      <c r="C171" s="172"/>
      <c r="D171" s="172"/>
      <c r="E171" s="172"/>
      <c r="F171" s="177">
        <f t="shared" si="19"/>
        <v>4680.6000000000004</v>
      </c>
      <c r="G171" s="177"/>
      <c r="H171" s="29" t="str">
        <f t="shared" si="16"/>
        <v>разово</v>
      </c>
      <c r="I171" s="173">
        <f t="shared" si="20"/>
        <v>1</v>
      </c>
      <c r="J171" s="173"/>
      <c r="M171" s="22" t="s">
        <v>71</v>
      </c>
      <c r="N171" s="1" t="str">
        <v>Приобретение и монтаж уличных урн около подъездов.</v>
      </c>
    </row>
    <row r="172" spans="1:14" ht="28.5" customHeight="1">
      <c r="A172" s="172" t="str">
        <f t="shared" si="18"/>
        <v>Ремонт кабельной линии связи системы видеонаблюдения (1 подъезд).</v>
      </c>
      <c r="B172" s="172"/>
      <c r="C172" s="172"/>
      <c r="D172" s="172"/>
      <c r="E172" s="172"/>
      <c r="F172" s="177">
        <f t="shared" si="19"/>
        <v>1500</v>
      </c>
      <c r="G172" s="177"/>
      <c r="H172" s="29" t="str">
        <f t="shared" si="16"/>
        <v>разово</v>
      </c>
      <c r="I172" s="173">
        <f t="shared" si="20"/>
        <v>1</v>
      </c>
      <c r="J172" s="173"/>
      <c r="M172" s="22" t="s">
        <v>71</v>
      </c>
      <c r="N172" s="1" t="str">
        <v>Ремонт кабельной линии связи системы видеонаблюдения (1 подъезд).</v>
      </c>
    </row>
    <row r="173" spans="1:14" ht="28.5" customHeight="1">
      <c r="A173" s="172" t="str">
        <f t="shared" si="18"/>
        <v>Испытание пожарных кранов (26 шт.).</v>
      </c>
      <c r="B173" s="172"/>
      <c r="C173" s="172"/>
      <c r="D173" s="172"/>
      <c r="E173" s="172"/>
      <c r="F173" s="177">
        <f t="shared" si="19"/>
        <v>6500</v>
      </c>
      <c r="G173" s="177"/>
      <c r="H173" s="29" t="str">
        <f t="shared" si="16"/>
        <v>разово</v>
      </c>
      <c r="I173" s="173">
        <f t="shared" si="20"/>
        <v>1</v>
      </c>
      <c r="J173" s="173"/>
      <c r="M173" s="22" t="s">
        <v>71</v>
      </c>
      <c r="N173" s="1" t="str">
        <v>Испытание пожарных кранов (26 шт.).</v>
      </c>
    </row>
    <row r="174" spans="1:14" ht="28.5" customHeight="1">
      <c r="A174" s="172" t="str">
        <f t="shared" si="18"/>
        <v>Замена АКБ, блока бесперебойного питания и дымовых извещателей (3 шт.) системы пожарной безопасности.</v>
      </c>
      <c r="B174" s="172"/>
      <c r="C174" s="172"/>
      <c r="D174" s="172"/>
      <c r="E174" s="172"/>
      <c r="F174" s="177">
        <f t="shared" si="19"/>
        <v>4203</v>
      </c>
      <c r="G174" s="177"/>
      <c r="H174" s="29" t="str">
        <f t="shared" si="16"/>
        <v>разово</v>
      </c>
      <c r="I174" s="173">
        <f t="shared" si="20"/>
        <v>1</v>
      </c>
      <c r="J174" s="173"/>
      <c r="M174" s="22" t="s">
        <v>71</v>
      </c>
      <c r="N174" s="1" t="str">
        <v>Замена АКБ, блока бесперебойного питания и дымовых извещателей (3 шт.) системы пожарной безопасности.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71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71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71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71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71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71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71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71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71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71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71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71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71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97" t="s">
        <v>190</v>
      </c>
      <c r="B190" s="197"/>
      <c r="C190" s="197"/>
      <c r="D190" s="197"/>
      <c r="E190" s="27">
        <f>SUM(F158:G187)</f>
        <v>365360.08999999997</v>
      </c>
    </row>
    <row r="191" spans="1:14" ht="51.75" customHeight="1">
      <c r="A191" s="197" t="s">
        <v>189</v>
      </c>
      <c r="B191" s="197"/>
      <c r="C191" s="197"/>
      <c r="D191" s="197"/>
      <c r="E191" s="27">
        <f>E190+E154-E155</f>
        <v>-359577.67000000004</v>
      </c>
    </row>
    <row r="192" spans="1:14">
      <c r="A192" s="103" t="s">
        <v>173</v>
      </c>
    </row>
    <row r="193" spans="1:10" ht="62.25" customHeight="1">
      <c r="A193" s="171" t="s">
        <v>188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8">
        <f>ПТО!G12</f>
        <v>1200</v>
      </c>
      <c r="I194" s="49" t="s">
        <v>73</v>
      </c>
    </row>
    <row r="195" spans="1:10" ht="18.75" customHeight="1">
      <c r="A195" s="169" t="str">
        <f>ПТО!F13</f>
        <v xml:space="preserve">  -  техническое освидетельствование лифта</v>
      </c>
      <c r="B195" s="169"/>
      <c r="C195" s="169"/>
      <c r="D195" s="169"/>
      <c r="E195" s="169"/>
      <c r="F195" s="169"/>
      <c r="G195" s="169"/>
      <c r="H195" s="48">
        <f>ПТО!G13</f>
        <v>30000</v>
      </c>
      <c r="I195" s="49" t="s">
        <v>73</v>
      </c>
    </row>
    <row r="196" spans="1:10" ht="18.75" customHeight="1">
      <c r="A196" s="169" t="str">
        <f>ПТО!F14</f>
        <v xml:space="preserve">  -  вывоз снега с придомовой территории</v>
      </c>
      <c r="B196" s="169"/>
      <c r="C196" s="169"/>
      <c r="D196" s="169"/>
      <c r="E196" s="169"/>
      <c r="F196" s="169"/>
      <c r="G196" s="169"/>
      <c r="H196" s="48">
        <f>ПТО!G14</f>
        <v>25000</v>
      </c>
      <c r="I196" s="49" t="s">
        <v>73</v>
      </c>
    </row>
    <row r="197" spans="1:10" ht="36.75" customHeight="1">
      <c r="A197" s="169" t="str">
        <f>ПТО!F15</f>
        <v xml:space="preserve">  -  благоустройство территории (завоз песка, чернозема, приобретение рассады)</v>
      </c>
      <c r="B197" s="169"/>
      <c r="C197" s="169"/>
      <c r="D197" s="169"/>
      <c r="E197" s="169"/>
      <c r="F197" s="169"/>
      <c r="G197" s="169"/>
      <c r="H197" s="48">
        <f>ПТО!G15</f>
        <v>5000</v>
      </c>
      <c r="I197" s="49" t="s">
        <v>73</v>
      </c>
    </row>
    <row r="198" spans="1:10" ht="18.75" customHeight="1">
      <c r="A198" s="169" t="str">
        <f>ПТО!F16</f>
        <v xml:space="preserve">  -  генеральная уборка в подъездах</v>
      </c>
      <c r="B198" s="169"/>
      <c r="C198" s="169"/>
      <c r="D198" s="169"/>
      <c r="E198" s="169"/>
      <c r="F198" s="169"/>
      <c r="G198" s="169"/>
      <c r="H198" s="48">
        <f>ПТО!G16</f>
        <v>60000</v>
      </c>
      <c r="I198" s="51" t="s">
        <v>73</v>
      </c>
    </row>
    <row r="199" spans="1:10" ht="18.75" customHeight="1">
      <c r="A199" s="169" t="str">
        <f>ПТО!F17</f>
        <v xml:space="preserve">  -  ремонт в 2-х подъездах (незадымляемые лестницы)</v>
      </c>
      <c r="B199" s="169"/>
      <c r="C199" s="169"/>
      <c r="D199" s="169"/>
      <c r="E199" s="169"/>
      <c r="F199" s="169"/>
      <c r="G199" s="169"/>
      <c r="H199" s="48">
        <f>ПТО!G17</f>
        <v>800000</v>
      </c>
      <c r="I199" s="49" t="s">
        <v>73</v>
      </c>
    </row>
    <row r="200" spans="1:10" hidden="1">
      <c r="A200" s="169">
        <f>ПТО!F18</f>
        <v>0</v>
      </c>
      <c r="B200" s="169"/>
      <c r="C200" s="169"/>
      <c r="D200" s="169"/>
      <c r="E200" s="169"/>
      <c r="F200" s="169"/>
      <c r="G200" s="169"/>
      <c r="H200" s="48">
        <f>ПТО!G18</f>
        <v>0</v>
      </c>
      <c r="I200" s="49" t="s">
        <v>73</v>
      </c>
    </row>
    <row r="201" spans="1:10" hidden="1">
      <c r="A201" s="169">
        <f>ПТО!F19</f>
        <v>0</v>
      </c>
      <c r="B201" s="169"/>
      <c r="C201" s="169"/>
      <c r="D201" s="169"/>
      <c r="E201" s="169"/>
      <c r="F201" s="169"/>
      <c r="G201" s="169"/>
      <c r="H201" s="48">
        <f>ПТО!G19</f>
        <v>0</v>
      </c>
      <c r="I201" s="49" t="s">
        <v>73</v>
      </c>
    </row>
    <row r="202" spans="1:10" hidden="1">
      <c r="A202" s="169">
        <f>ПТО!F20</f>
        <v>0</v>
      </c>
      <c r="B202" s="169"/>
      <c r="C202" s="169"/>
      <c r="D202" s="169"/>
      <c r="E202" s="169"/>
      <c r="F202" s="169"/>
      <c r="G202" s="169"/>
      <c r="H202" s="48">
        <f>ПТО!G20</f>
        <v>0</v>
      </c>
      <c r="I202" s="49" t="s">
        <v>73</v>
      </c>
    </row>
    <row r="203" spans="1:10" hidden="1">
      <c r="A203" s="169">
        <f>ПТО!F21</f>
        <v>0</v>
      </c>
      <c r="B203" s="169"/>
      <c r="C203" s="169"/>
      <c r="D203" s="169"/>
      <c r="E203" s="169"/>
      <c r="F203" s="169"/>
      <c r="G203" s="169"/>
      <c r="H203" s="48">
        <f>ПТО!G21</f>
        <v>0</v>
      </c>
      <c r="I203" s="49" t="s">
        <v>73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8">
        <f>ПТО!G22</f>
        <v>0</v>
      </c>
      <c r="I204" s="49" t="s">
        <v>73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8">
        <f>ПТО!G23</f>
        <v>0</v>
      </c>
      <c r="I205" s="49" t="s">
        <v>73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8">
        <f>ПТО!G24</f>
        <v>0</v>
      </c>
      <c r="I206" s="49" t="s">
        <v>73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8">
        <f>ПТО!G25</f>
        <v>0</v>
      </c>
      <c r="I207" s="49" t="s">
        <v>73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8">
        <f>ПТО!G26</f>
        <v>0</v>
      </c>
      <c r="I208" s="49" t="s">
        <v>73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8">
        <f>ПТО!G27</f>
        <v>0</v>
      </c>
      <c r="I209" s="49" t="s">
        <v>73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8">
        <f>ПТО!G28</f>
        <v>0</v>
      </c>
      <c r="I210" s="49" t="s">
        <v>73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8">
        <f>ПТО!G29</f>
        <v>0</v>
      </c>
      <c r="I211" s="49" t="s">
        <v>73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8">
        <f>ПТО!G30</f>
        <v>0</v>
      </c>
      <c r="I212" s="49" t="s">
        <v>73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8">
        <f>ПТО!G31</f>
        <v>0</v>
      </c>
      <c r="I213" s="49" t="s">
        <v>73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921200</v>
      </c>
      <c r="I214" s="55" t="s">
        <v>76</v>
      </c>
    </row>
  </sheetData>
  <sheetProtection algorithmName="SHA-512" hashValue="wtYNbXpE2bhWKGe2lJwXVuskg22h+pkWkJGwlDF2EvMngfJ7aj7gGF+xAdGqYtEPS/tfGcH9prhT9apwXoV62A==" saltValue="bYeeT4gBIM9E3LOgbwFXZ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192</v>
      </c>
      <c r="G1" s="100">
        <f>-83417.76</f>
        <v>-83417.759999999995</v>
      </c>
    </row>
    <row r="2" spans="1:12" ht="18.75" customHeight="1">
      <c r="A2" s="121" t="s">
        <v>180</v>
      </c>
      <c r="B2" s="119" t="s">
        <v>175</v>
      </c>
      <c r="C2" s="119">
        <v>4</v>
      </c>
      <c r="D2" s="118">
        <v>30000</v>
      </c>
      <c r="E2" s="168" t="s">
        <v>227</v>
      </c>
      <c r="F2" s="32"/>
      <c r="G2" s="32"/>
      <c r="L2" s="33" t="str">
        <f t="shared" ref="L2:L22" si="0">IF(A2&gt;0,"ТР",0)</f>
        <v>ТР</v>
      </c>
    </row>
    <row r="3" spans="1:12" ht="42" customHeight="1">
      <c r="A3" s="144" t="s">
        <v>193</v>
      </c>
      <c r="B3" s="145" t="s">
        <v>194</v>
      </c>
      <c r="C3" s="130">
        <v>1</v>
      </c>
      <c r="D3" s="117">
        <v>500</v>
      </c>
      <c r="E3" s="150" t="s">
        <v>208</v>
      </c>
      <c r="F3" s="30"/>
      <c r="G3" s="30"/>
      <c r="L3" s="33" t="str">
        <f t="shared" si="0"/>
        <v>ТР</v>
      </c>
    </row>
    <row r="4" spans="1:12" ht="42" customHeight="1">
      <c r="A4" s="146" t="s">
        <v>195</v>
      </c>
      <c r="B4" s="147" t="s">
        <v>194</v>
      </c>
      <c r="C4" s="120">
        <v>1</v>
      </c>
      <c r="D4" s="117">
        <v>8750</v>
      </c>
      <c r="E4" s="150" t="s">
        <v>209</v>
      </c>
      <c r="F4" s="30"/>
      <c r="G4" s="30"/>
      <c r="L4" s="33" t="str">
        <f t="shared" si="0"/>
        <v>ТР</v>
      </c>
    </row>
    <row r="5" spans="1:12" ht="18.75" customHeight="1">
      <c r="A5" s="122" t="s">
        <v>196</v>
      </c>
      <c r="B5" s="119" t="s">
        <v>194</v>
      </c>
      <c r="C5" s="119">
        <v>1</v>
      </c>
      <c r="D5" s="118">
        <v>1600</v>
      </c>
      <c r="E5" s="126" t="s">
        <v>210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197</v>
      </c>
      <c r="B6" s="119" t="s">
        <v>194</v>
      </c>
      <c r="C6" s="119">
        <v>1</v>
      </c>
      <c r="D6" s="118">
        <v>2650</v>
      </c>
      <c r="E6" s="150" t="s">
        <v>211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199</v>
      </c>
      <c r="B7" s="119" t="s">
        <v>194</v>
      </c>
      <c r="C7" s="119">
        <v>1</v>
      </c>
      <c r="D7" s="118">
        <f>20897.6+64110.7</f>
        <v>85008.299999999988</v>
      </c>
      <c r="E7" s="151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48" t="s">
        <v>203</v>
      </c>
      <c r="B8" s="149" t="s">
        <v>194</v>
      </c>
      <c r="C8" s="132">
        <v>1</v>
      </c>
      <c r="D8" s="133">
        <v>80813.789999999994</v>
      </c>
      <c r="E8" s="134" t="s">
        <v>204</v>
      </c>
      <c r="F8" s="45"/>
      <c r="G8" s="45"/>
      <c r="K8" s="43"/>
      <c r="L8" s="33" t="str">
        <f t="shared" si="0"/>
        <v>ТР</v>
      </c>
    </row>
    <row r="9" spans="1:12">
      <c r="A9" s="122" t="s">
        <v>205</v>
      </c>
      <c r="B9" s="119" t="s">
        <v>194</v>
      </c>
      <c r="C9" s="119">
        <v>1</v>
      </c>
      <c r="D9" s="118">
        <v>13400</v>
      </c>
      <c r="E9" s="150" t="s">
        <v>212</v>
      </c>
      <c r="F9" s="44"/>
      <c r="G9" s="44"/>
      <c r="K9" s="43"/>
      <c r="L9" s="33" t="str">
        <f t="shared" si="0"/>
        <v>ТР</v>
      </c>
    </row>
    <row r="10" spans="1:12" ht="45">
      <c r="A10" s="152" t="s">
        <v>200</v>
      </c>
      <c r="B10" s="149" t="s">
        <v>194</v>
      </c>
      <c r="C10" s="132">
        <v>1</v>
      </c>
      <c r="D10" s="133">
        <f>1240+1250+960+360</f>
        <v>3810</v>
      </c>
      <c r="E10" s="134" t="s">
        <v>215</v>
      </c>
      <c r="L10" s="33" t="str">
        <f t="shared" si="0"/>
        <v>ТР</v>
      </c>
    </row>
    <row r="11" spans="1:12" ht="94.5">
      <c r="A11" s="131" t="s">
        <v>198</v>
      </c>
      <c r="B11" s="153" t="s">
        <v>194</v>
      </c>
      <c r="C11" s="132">
        <v>1</v>
      </c>
      <c r="D11" s="133">
        <v>45112</v>
      </c>
      <c r="E11" s="134" t="s">
        <v>216</v>
      </c>
      <c r="F11" s="110" t="s">
        <v>188</v>
      </c>
      <c r="G11" s="110"/>
      <c r="L11" s="33" t="str">
        <f t="shared" si="0"/>
        <v>ТР</v>
      </c>
    </row>
    <row r="12" spans="1:12" ht="31.5">
      <c r="A12" s="122" t="s">
        <v>201</v>
      </c>
      <c r="B12" s="119" t="s">
        <v>194</v>
      </c>
      <c r="C12" s="119">
        <v>1</v>
      </c>
      <c r="D12" s="118">
        <v>68506.399999999994</v>
      </c>
      <c r="E12" s="126" t="s">
        <v>217</v>
      </c>
      <c r="F12" s="111" t="s">
        <v>72</v>
      </c>
      <c r="G12" s="112">
        <v>1200</v>
      </c>
      <c r="L12" s="33" t="str">
        <f t="shared" si="0"/>
        <v>ТР</v>
      </c>
    </row>
    <row r="13" spans="1:12" ht="31.5">
      <c r="A13" s="122" t="s">
        <v>206</v>
      </c>
      <c r="B13" s="119" t="s">
        <v>194</v>
      </c>
      <c r="C13" s="119">
        <v>1</v>
      </c>
      <c r="D13" s="118">
        <v>2810</v>
      </c>
      <c r="E13" s="126" t="s">
        <v>218</v>
      </c>
      <c r="F13" s="111" t="s">
        <v>74</v>
      </c>
      <c r="G13" s="112">
        <v>30000</v>
      </c>
      <c r="L13" s="33" t="str">
        <f t="shared" si="0"/>
        <v>ТР</v>
      </c>
    </row>
    <row r="14" spans="1:12" ht="15.75">
      <c r="A14" s="122" t="s">
        <v>207</v>
      </c>
      <c r="B14" s="154" t="s">
        <v>194</v>
      </c>
      <c r="C14" s="155">
        <v>1</v>
      </c>
      <c r="D14" s="118">
        <v>5516</v>
      </c>
      <c r="E14" s="156" t="s">
        <v>219</v>
      </c>
      <c r="F14" s="127" t="s">
        <v>184</v>
      </c>
      <c r="G14" s="113">
        <v>25000</v>
      </c>
      <c r="L14" s="33" t="str">
        <f t="shared" si="0"/>
        <v>ТР</v>
      </c>
    </row>
    <row r="15" spans="1:12" ht="15.75">
      <c r="A15" s="122" t="s">
        <v>213</v>
      </c>
      <c r="B15" s="119" t="s">
        <v>194</v>
      </c>
      <c r="C15" s="119">
        <v>1</v>
      </c>
      <c r="D15" s="118">
        <v>4680.6000000000004</v>
      </c>
      <c r="E15" s="126" t="s">
        <v>214</v>
      </c>
      <c r="F15" s="128" t="s">
        <v>185</v>
      </c>
      <c r="G15" s="129">
        <v>5000</v>
      </c>
      <c r="L15" s="33" t="str">
        <f t="shared" si="0"/>
        <v>ТР</v>
      </c>
    </row>
    <row r="16" spans="1:12" ht="15.75">
      <c r="A16" s="159" t="s">
        <v>223</v>
      </c>
      <c r="B16" s="123" t="s">
        <v>194</v>
      </c>
      <c r="C16" s="157">
        <v>1</v>
      </c>
      <c r="D16" s="117">
        <v>1500</v>
      </c>
      <c r="E16" s="158" t="s">
        <v>222</v>
      </c>
      <c r="F16" s="127" t="s">
        <v>186</v>
      </c>
      <c r="G16" s="113">
        <v>60000</v>
      </c>
      <c r="L16" s="33" t="str">
        <f t="shared" si="0"/>
        <v>ТР</v>
      </c>
    </row>
    <row r="17" spans="1:12" ht="15.75">
      <c r="A17" s="162" t="s">
        <v>220</v>
      </c>
      <c r="B17" s="123" t="s">
        <v>194</v>
      </c>
      <c r="C17" s="157">
        <v>1</v>
      </c>
      <c r="D17" s="117">
        <v>6500</v>
      </c>
      <c r="E17" s="163" t="s">
        <v>224</v>
      </c>
      <c r="F17" s="127" t="s">
        <v>228</v>
      </c>
      <c r="G17" s="129">
        <v>800000</v>
      </c>
      <c r="L17" s="33" t="str">
        <f t="shared" si="0"/>
        <v>ТР</v>
      </c>
    </row>
    <row r="18" spans="1:12" ht="45">
      <c r="A18" s="160" t="s">
        <v>221</v>
      </c>
      <c r="B18" s="119" t="s">
        <v>194</v>
      </c>
      <c r="C18" s="119">
        <v>1</v>
      </c>
      <c r="D18" s="161">
        <v>4203</v>
      </c>
      <c r="E18" s="126" t="s">
        <v>225</v>
      </c>
      <c r="F18" s="127"/>
      <c r="G18" s="113"/>
      <c r="L18" s="33" t="str">
        <f t="shared" si="0"/>
        <v>ТР</v>
      </c>
    </row>
    <row r="19" spans="1:12" ht="15.75">
      <c r="A19" s="160"/>
      <c r="B19" s="119"/>
      <c r="C19" s="119"/>
      <c r="D19" s="161"/>
      <c r="E19" s="126"/>
      <c r="F19" s="127"/>
      <c r="G19" s="113"/>
      <c r="L19" s="33">
        <f t="shared" si="0"/>
        <v>0</v>
      </c>
    </row>
    <row r="20" spans="1:12" ht="15.75">
      <c r="A20" s="160"/>
      <c r="B20" s="119"/>
      <c r="C20" s="119"/>
      <c r="D20" s="161"/>
      <c r="E20" s="126"/>
      <c r="F20" s="127"/>
      <c r="G20" s="113"/>
      <c r="L20" s="33">
        <f t="shared" si="0"/>
        <v>0</v>
      </c>
    </row>
    <row r="21" spans="1:12" ht="15.75">
      <c r="A21" s="122"/>
      <c r="B21" s="119"/>
      <c r="C21" s="119"/>
      <c r="D21" s="118"/>
      <c r="E21" s="126"/>
      <c r="F21" s="127"/>
      <c r="G21" s="113"/>
      <c r="L21" s="33">
        <f t="shared" si="0"/>
        <v>0</v>
      </c>
    </row>
    <row r="22" spans="1:12">
      <c r="A22" s="122"/>
      <c r="B22" s="119"/>
      <c r="C22" s="119"/>
      <c r="D22" s="118"/>
      <c r="E22" s="126"/>
      <c r="F22" s="102"/>
      <c r="L22" s="33">
        <f t="shared" si="0"/>
        <v>0</v>
      </c>
    </row>
    <row r="23" spans="1:12">
      <c r="A23" s="131"/>
      <c r="B23" s="135"/>
      <c r="C23" s="132"/>
      <c r="D23" s="133"/>
      <c r="E23" s="134"/>
      <c r="F23" s="102"/>
      <c r="L23" s="33">
        <f t="shared" ref="L23:L31" si="1">IF(A23&gt;0,"ТР",0)</f>
        <v>0</v>
      </c>
    </row>
    <row r="24" spans="1:12">
      <c r="A24" s="122"/>
      <c r="B24" s="119"/>
      <c r="C24" s="123"/>
      <c r="D24" s="118"/>
      <c r="E24" s="134"/>
      <c r="F24" s="102"/>
      <c r="L24" s="33">
        <f t="shared" si="1"/>
        <v>0</v>
      </c>
    </row>
    <row r="25" spans="1:12">
      <c r="A25" s="122"/>
      <c r="B25" s="119"/>
      <c r="C25" s="123"/>
      <c r="D25" s="118"/>
      <c r="E25" s="136"/>
      <c r="F25" s="102"/>
      <c r="L25" s="33">
        <f t="shared" si="1"/>
        <v>0</v>
      </c>
    </row>
    <row r="26" spans="1:12">
      <c r="A26" s="122"/>
      <c r="B26" s="119"/>
      <c r="C26" s="123"/>
      <c r="D26" s="118"/>
      <c r="E26" s="136"/>
      <c r="F26" s="102"/>
      <c r="L26" s="33">
        <f t="shared" si="1"/>
        <v>0</v>
      </c>
    </row>
    <row r="27" spans="1:12">
      <c r="A27" s="137"/>
      <c r="B27" s="138"/>
      <c r="C27" s="139"/>
      <c r="D27" s="140"/>
      <c r="E27" s="141"/>
      <c r="F27" s="102"/>
      <c r="L27" s="33">
        <f t="shared" si="1"/>
        <v>0</v>
      </c>
    </row>
    <row r="28" spans="1:12">
      <c r="A28" s="142"/>
      <c r="B28" s="138"/>
      <c r="C28" s="143"/>
      <c r="D28" s="140"/>
      <c r="E28" s="141"/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165">
        <v>474724.80000000005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474724.80000000005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65">
        <v>310068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310068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65">
        <v>133650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133650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65">
        <v>122958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122958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65">
        <v>37422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37422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65">
        <v>201009.59999999998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201009.59999999998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165">
        <v>411642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411642</v>
      </c>
      <c r="O46" s="41" t="str">
        <f t="shared" si="5"/>
        <v>Ежемесячно</v>
      </c>
      <c r="P46">
        <f t="shared" si="6"/>
        <v>12</v>
      </c>
    </row>
    <row r="47" spans="1:16">
      <c r="A47" s="166" t="s">
        <v>179</v>
      </c>
      <c r="B47" s="165">
        <v>18176.400000000001</v>
      </c>
      <c r="C47" s="38" t="s">
        <v>67</v>
      </c>
      <c r="D47" s="39">
        <v>12</v>
      </c>
      <c r="L47" s="40" t="str">
        <f t="shared" si="2"/>
        <v>СОД</v>
      </c>
      <c r="M47" t="str">
        <f t="shared" si="3"/>
        <v>Техническое обслуживание средств автоматической системы пожарной сигнализации</v>
      </c>
      <c r="N47" s="41">
        <f t="shared" si="4"/>
        <v>18176.400000000001</v>
      </c>
      <c r="O47" s="41" t="str">
        <f t="shared" si="5"/>
        <v>Ежемесячно</v>
      </c>
      <c r="P47">
        <f t="shared" si="6"/>
        <v>12</v>
      </c>
    </row>
    <row r="48" spans="1:16">
      <c r="A48" s="37" t="s">
        <v>226</v>
      </c>
      <c r="B48" s="167">
        <f>(1899.9*3.48*1.23*6+1899.9*3.48*1.17*6)+(1626.9*0.075*13.45*6+1626.9*0.075*12.94*6)+(1626.9*0.075*16.35*6+1626.9*0.075*15.73*6)</f>
        <v>138013.96815</v>
      </c>
      <c r="C48" s="38" t="s">
        <v>67</v>
      </c>
      <c r="D48" s="164">
        <v>12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138013.96815</v>
      </c>
      <c r="O48" s="41" t="str">
        <f t="shared" si="5"/>
        <v>Ежемесячно</v>
      </c>
      <c r="P48">
        <f t="shared" si="6"/>
        <v>12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181</v>
      </c>
      <c r="F1" s="59">
        <v>8910</v>
      </c>
    </row>
    <row r="2" spans="1:10" ht="15.75" customHeight="1">
      <c r="A2" s="69" t="s">
        <v>81</v>
      </c>
      <c r="B2" s="71" t="s">
        <v>1</v>
      </c>
      <c r="C2" s="82">
        <v>0</v>
      </c>
      <c r="D2" s="80" t="s">
        <v>57</v>
      </c>
      <c r="E2" s="124">
        <v>6</v>
      </c>
      <c r="F2" s="125" t="s">
        <v>182</v>
      </c>
      <c r="G2" s="125"/>
      <c r="H2" s="125"/>
      <c r="I2" s="60"/>
      <c r="J2" s="60"/>
    </row>
    <row r="3" spans="1:10" ht="15.75" customHeight="1">
      <c r="A3" s="69" t="s">
        <v>82</v>
      </c>
      <c r="B3" s="71" t="s">
        <v>2</v>
      </c>
      <c r="C3" s="78">
        <v>0</v>
      </c>
      <c r="D3" s="79" t="s">
        <v>58</v>
      </c>
      <c r="E3" s="107" t="s">
        <v>183</v>
      </c>
      <c r="F3" s="107"/>
      <c r="G3" s="107"/>
      <c r="H3" s="107"/>
      <c r="I3" s="60"/>
      <c r="J3" s="60"/>
    </row>
    <row r="4" spans="1:10" ht="15.75" customHeight="1">
      <c r="A4" s="69" t="s">
        <v>83</v>
      </c>
      <c r="B4" s="71" t="s">
        <v>3</v>
      </c>
      <c r="C4" s="82">
        <v>1191530.33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4</v>
      </c>
      <c r="C5" s="78">
        <f>SUM(C6:C8)</f>
        <v>2324036.16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5</v>
      </c>
      <c r="C6" s="82">
        <v>1682516.16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6</v>
      </c>
      <c r="C7" s="82">
        <f>F1*6*12</f>
        <v>641520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8</v>
      </c>
      <c r="C9" s="78">
        <f>SUM(C10:C14)</f>
        <v>2333247.58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9</v>
      </c>
      <c r="C10" s="82">
        <v>2333247.58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14</v>
      </c>
      <c r="C15" s="78">
        <f>C9</f>
        <v>2333247.58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17</v>
      </c>
      <c r="C18" s="78">
        <f>IF(C16&gt;0,0,IF(C4&gt;0,C4+C5-C9,C5-C2-C9))</f>
        <v>1182318.9100000001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200"/>
      <c r="N20" s="61"/>
    </row>
    <row r="21" spans="1:15" ht="15.75" customHeight="1">
      <c r="A21" s="69" t="s">
        <v>99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200"/>
      <c r="N21" s="61"/>
    </row>
    <row r="22" spans="1:15" ht="15.75" customHeight="1">
      <c r="A22" s="69" t="s">
        <v>100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200"/>
      <c r="N22" s="61"/>
    </row>
    <row r="23" spans="1:15" ht="15.75" customHeight="1">
      <c r="A23" s="69" t="s">
        <v>101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200"/>
      <c r="N23" s="61"/>
    </row>
    <row r="24" spans="1:15" ht="18.75">
      <c r="A24" s="72" t="s">
        <v>161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99"/>
      <c r="N25" s="62"/>
    </row>
    <row r="26" spans="1:15" ht="18.75" customHeight="1">
      <c r="A26" s="69" t="s">
        <v>103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99"/>
      <c r="N26" s="62"/>
    </row>
    <row r="27" spans="1:15" ht="18.75" customHeight="1">
      <c r="A27" s="69" t="s">
        <v>104</v>
      </c>
      <c r="B27" s="74" t="s">
        <v>3</v>
      </c>
      <c r="C27" s="85">
        <v>199259.58</v>
      </c>
      <c r="D27" s="80" t="s">
        <v>59</v>
      </c>
      <c r="E27" s="63"/>
      <c r="F27" s="63"/>
      <c r="G27" s="63"/>
      <c r="H27" s="63"/>
      <c r="I27" s="63"/>
      <c r="J27" s="63"/>
      <c r="M27" s="199"/>
      <c r="N27" s="62"/>
    </row>
    <row r="28" spans="1:15" ht="18.75" customHeight="1">
      <c r="A28" s="69" t="s">
        <v>105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99"/>
      <c r="N28" s="62"/>
    </row>
    <row r="29" spans="1:15" ht="18.75" customHeight="1">
      <c r="A29" s="69" t="s">
        <v>106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99"/>
      <c r="N29" s="62"/>
    </row>
    <row r="30" spans="1:15" ht="18.75" customHeight="1">
      <c r="A30" s="69" t="s">
        <v>107</v>
      </c>
      <c r="B30" s="74" t="s">
        <v>17</v>
      </c>
      <c r="C30" s="85">
        <v>205894.36</v>
      </c>
      <c r="D30" s="80" t="s">
        <v>65</v>
      </c>
      <c r="E30" s="63"/>
      <c r="F30" s="63"/>
      <c r="G30" s="63"/>
      <c r="H30" s="63"/>
      <c r="I30" s="63"/>
      <c r="J30" s="63"/>
      <c r="M30" s="199"/>
      <c r="N30" s="62"/>
    </row>
    <row r="31" spans="1:15" ht="18.75" customHeight="1">
      <c r="A31" s="69" t="s">
        <v>108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99"/>
      <c r="N31" s="62"/>
    </row>
    <row r="32" spans="1:15" ht="18.75" customHeight="1">
      <c r="A32" s="69" t="s">
        <v>109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99"/>
      <c r="N32" s="62"/>
    </row>
    <row r="33" spans="1:15" ht="18.75" customHeight="1">
      <c r="A33" s="69" t="s">
        <v>110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99"/>
      <c r="N33" s="62"/>
    </row>
    <row r="34" spans="1:15" ht="18.75" customHeight="1">
      <c r="A34" s="69" t="s">
        <v>111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99"/>
      <c r="N34" s="62"/>
    </row>
    <row r="35" spans="1:15" ht="18.75">
      <c r="A35" s="72" t="s">
        <v>162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92542.8</v>
      </c>
      <c r="F37" s="93" t="s">
        <v>166</v>
      </c>
      <c r="G37" s="65"/>
      <c r="H37" s="65"/>
      <c r="I37" s="65"/>
      <c r="L37" s="62"/>
      <c r="M37" s="198"/>
      <c r="N37" s="62"/>
      <c r="O37" s="62"/>
    </row>
    <row r="38" spans="1:15" ht="18.75" customHeight="1">
      <c r="A38" s="69" t="s">
        <v>112</v>
      </c>
      <c r="B38" s="77" t="s">
        <v>36</v>
      </c>
      <c r="C38" s="89">
        <v>77119</v>
      </c>
      <c r="D38" s="93" t="s">
        <v>164</v>
      </c>
      <c r="E38" s="67"/>
      <c r="G38" s="66"/>
      <c r="H38" s="66"/>
      <c r="L38" s="62"/>
      <c r="M38" s="198"/>
      <c r="N38" s="62"/>
      <c r="O38" s="62"/>
    </row>
    <row r="39" spans="1:15" ht="18.75" customHeight="1">
      <c r="A39" s="69" t="s">
        <v>113</v>
      </c>
      <c r="B39" s="77" t="s">
        <v>37</v>
      </c>
      <c r="C39" s="90">
        <v>102543.31</v>
      </c>
      <c r="D39" s="93" t="s">
        <v>165</v>
      </c>
      <c r="E39" s="67"/>
      <c r="G39" s="66"/>
      <c r="H39" s="66"/>
      <c r="L39" s="62"/>
      <c r="M39" s="198"/>
      <c r="N39" s="62"/>
      <c r="O39" s="62"/>
    </row>
    <row r="40" spans="1:15" ht="18.75" customHeight="1">
      <c r="A40" s="69" t="s">
        <v>114</v>
      </c>
      <c r="B40" s="77" t="s">
        <v>38</v>
      </c>
      <c r="C40" s="92">
        <f>IF(E37-C39&lt;0,0,E37-C39)</f>
        <v>0</v>
      </c>
      <c r="D40" s="79" t="s">
        <v>58</v>
      </c>
      <c r="E40" s="67"/>
      <c r="G40" s="66"/>
      <c r="H40" s="66"/>
      <c r="L40" s="62"/>
      <c r="M40" s="198"/>
      <c r="N40" s="62"/>
      <c r="O40" s="62"/>
    </row>
    <row r="41" spans="1:15" ht="18.75" customHeight="1">
      <c r="A41" s="69" t="s">
        <v>115</v>
      </c>
      <c r="B41" s="77" t="s">
        <v>39</v>
      </c>
      <c r="C41" s="92">
        <f>E37</f>
        <v>92542.8</v>
      </c>
      <c r="D41" s="79" t="s">
        <v>58</v>
      </c>
      <c r="E41" s="67"/>
      <c r="G41" s="66"/>
      <c r="H41" s="66"/>
      <c r="L41" s="62"/>
      <c r="M41" s="198"/>
      <c r="N41" s="62"/>
      <c r="O41" s="62"/>
    </row>
    <row r="42" spans="1:15" ht="18.75" customHeight="1">
      <c r="A42" s="69" t="s">
        <v>116</v>
      </c>
      <c r="B42" s="77" t="s">
        <v>40</v>
      </c>
      <c r="C42" s="92">
        <f>E37</f>
        <v>92542.8</v>
      </c>
      <c r="D42" s="79" t="s">
        <v>58</v>
      </c>
      <c r="E42" s="67"/>
      <c r="G42" s="66"/>
      <c r="H42" s="66"/>
      <c r="L42" s="62"/>
      <c r="M42" s="198"/>
      <c r="N42" s="62"/>
      <c r="O42" s="62"/>
    </row>
    <row r="43" spans="1:15" ht="18.75" customHeight="1">
      <c r="A43" s="69" t="s">
        <v>117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98"/>
      <c r="N43" s="62"/>
      <c r="O43" s="62"/>
    </row>
    <row r="44" spans="1:15" ht="30" customHeight="1">
      <c r="A44" s="69" t="s">
        <v>118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98"/>
      <c r="N44" s="62"/>
      <c r="O44" s="62"/>
    </row>
    <row r="45" spans="1:15" ht="18.75">
      <c r="A45" s="72" t="s">
        <v>120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204789.4</v>
      </c>
      <c r="F45" s="93" t="s">
        <v>166</v>
      </c>
      <c r="G45" s="65"/>
      <c r="H45" s="65"/>
      <c r="L45" s="62"/>
      <c r="M45" s="198"/>
      <c r="N45" s="62"/>
      <c r="O45" s="62"/>
    </row>
    <row r="46" spans="1:15" ht="18.75" customHeight="1">
      <c r="A46" s="72" t="s">
        <v>121</v>
      </c>
      <c r="B46" s="77" t="s">
        <v>36</v>
      </c>
      <c r="C46" s="89">
        <v>15514.35</v>
      </c>
      <c r="D46" s="93" t="s">
        <v>167</v>
      </c>
      <c r="E46" s="67"/>
      <c r="G46" s="66"/>
      <c r="H46" s="66"/>
      <c r="L46" s="62"/>
      <c r="M46" s="198"/>
      <c r="N46" s="62"/>
      <c r="O46" s="62"/>
    </row>
    <row r="47" spans="1:15" ht="18.75" customHeight="1">
      <c r="A47" s="72" t="s">
        <v>122</v>
      </c>
      <c r="B47" s="77" t="s">
        <v>37</v>
      </c>
      <c r="C47" s="90">
        <v>205564.07</v>
      </c>
      <c r="D47" s="93" t="s">
        <v>165</v>
      </c>
      <c r="E47" s="67"/>
      <c r="G47" s="66"/>
      <c r="H47" s="66"/>
      <c r="L47" s="62"/>
      <c r="M47" s="198"/>
      <c r="N47" s="62"/>
      <c r="O47" s="62"/>
    </row>
    <row r="48" spans="1:15" ht="18.75" customHeight="1">
      <c r="A48" s="72" t="s">
        <v>123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98"/>
      <c r="N48" s="62"/>
      <c r="O48" s="62"/>
    </row>
    <row r="49" spans="1:15" ht="18.75" customHeight="1">
      <c r="A49" s="72" t="s">
        <v>124</v>
      </c>
      <c r="B49" s="77" t="s">
        <v>39</v>
      </c>
      <c r="C49" s="92">
        <f>E45</f>
        <v>204789.4</v>
      </c>
      <c r="D49" s="79" t="s">
        <v>58</v>
      </c>
      <c r="E49" s="67"/>
      <c r="G49" s="66"/>
      <c r="H49" s="66"/>
      <c r="L49" s="62"/>
      <c r="M49" s="198"/>
      <c r="N49" s="62"/>
      <c r="O49" s="62"/>
    </row>
    <row r="50" spans="1:15" ht="18.75" customHeight="1">
      <c r="A50" s="72" t="s">
        <v>125</v>
      </c>
      <c r="B50" s="77" t="s">
        <v>40</v>
      </c>
      <c r="C50" s="92">
        <f>E45</f>
        <v>204789.4</v>
      </c>
      <c r="D50" s="79" t="s">
        <v>58</v>
      </c>
      <c r="E50" s="67"/>
      <c r="G50" s="66"/>
      <c r="H50" s="66"/>
      <c r="L50" s="62"/>
      <c r="M50" s="198"/>
      <c r="N50" s="62"/>
      <c r="O50" s="62"/>
    </row>
    <row r="51" spans="1:15" ht="18.75" customHeight="1">
      <c r="A51" s="72" t="s">
        <v>126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98"/>
      <c r="N51" s="62"/>
      <c r="O51" s="62"/>
    </row>
    <row r="52" spans="1:15" ht="29.25" customHeight="1">
      <c r="A52" s="72" t="s">
        <v>127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98"/>
      <c r="N52" s="62"/>
      <c r="O52" s="62"/>
    </row>
    <row r="53" spans="1:15" ht="18.75">
      <c r="A53" s="72" t="s">
        <v>128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391505.56</v>
      </c>
      <c r="F53" s="93" t="s">
        <v>166</v>
      </c>
      <c r="G53" s="65"/>
      <c r="H53" s="65"/>
      <c r="L53" s="62"/>
      <c r="M53" s="198"/>
      <c r="N53" s="62"/>
      <c r="O53" s="62"/>
    </row>
    <row r="54" spans="1:15" ht="18.75" customHeight="1">
      <c r="A54" s="72" t="s">
        <v>129</v>
      </c>
      <c r="B54" s="74" t="s">
        <v>36</v>
      </c>
      <c r="C54" s="97">
        <v>24408.080000000002</v>
      </c>
      <c r="D54" s="93" t="s">
        <v>167</v>
      </c>
      <c r="E54" s="68"/>
      <c r="F54" s="88"/>
      <c r="G54" s="63"/>
      <c r="H54" s="63"/>
      <c r="L54" s="62"/>
      <c r="M54" s="198"/>
      <c r="N54" s="62"/>
      <c r="O54" s="62"/>
    </row>
    <row r="55" spans="1:15" ht="18.75" customHeight="1">
      <c r="A55" s="72" t="s">
        <v>130</v>
      </c>
      <c r="B55" s="74" t="s">
        <v>37</v>
      </c>
      <c r="C55" s="85">
        <v>380632.56</v>
      </c>
      <c r="D55" s="93" t="s">
        <v>165</v>
      </c>
      <c r="E55" s="68"/>
      <c r="G55" s="63"/>
      <c r="H55" s="63"/>
      <c r="L55" s="62"/>
      <c r="M55" s="198"/>
      <c r="N55" s="62"/>
      <c r="O55" s="62"/>
    </row>
    <row r="56" spans="1:15" ht="18.75" customHeight="1">
      <c r="A56" s="72" t="s">
        <v>131</v>
      </c>
      <c r="B56" s="74" t="s">
        <v>38</v>
      </c>
      <c r="C56" s="92">
        <f>IF(E53-C55&lt;0,0,E53-C55)</f>
        <v>10873</v>
      </c>
      <c r="D56" s="79" t="s">
        <v>58</v>
      </c>
      <c r="E56" s="68"/>
      <c r="G56" s="63"/>
      <c r="H56" s="63"/>
      <c r="L56" s="62"/>
      <c r="M56" s="198"/>
      <c r="N56" s="62"/>
      <c r="O56" s="62"/>
    </row>
    <row r="57" spans="1:15" ht="18.75" customHeight="1">
      <c r="A57" s="72" t="s">
        <v>132</v>
      </c>
      <c r="B57" s="74" t="s">
        <v>39</v>
      </c>
      <c r="C57" s="92">
        <f>E53</f>
        <v>391505.56</v>
      </c>
      <c r="D57" s="79" t="s">
        <v>58</v>
      </c>
      <c r="E57" s="68"/>
      <c r="G57" s="63"/>
      <c r="H57" s="63"/>
      <c r="L57" s="62"/>
      <c r="M57" s="198"/>
      <c r="N57" s="62"/>
      <c r="O57" s="62"/>
    </row>
    <row r="58" spans="1:15" ht="18.75" customHeight="1">
      <c r="A58" s="72" t="s">
        <v>133</v>
      </c>
      <c r="B58" s="74" t="s">
        <v>40</v>
      </c>
      <c r="C58" s="92">
        <f>E53</f>
        <v>391505.56</v>
      </c>
      <c r="D58" s="79" t="s">
        <v>58</v>
      </c>
      <c r="E58" s="68"/>
      <c r="G58" s="63"/>
      <c r="H58" s="63"/>
      <c r="L58" s="62"/>
      <c r="M58" s="198"/>
      <c r="N58" s="62"/>
      <c r="O58" s="62"/>
    </row>
    <row r="59" spans="1:15" ht="18.75" customHeight="1">
      <c r="A59" s="72" t="s">
        <v>134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98"/>
      <c r="N59" s="62"/>
      <c r="O59" s="62"/>
    </row>
    <row r="60" spans="1:15" ht="33.75" customHeight="1">
      <c r="A60" s="72" t="s">
        <v>135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98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54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36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37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140</v>
      </c>
      <c r="B65" s="74" t="s">
        <v>39</v>
      </c>
      <c r="C65" s="92">
        <f>E61</f>
        <v>0</v>
      </c>
      <c r="D65" s="79" t="s">
        <v>58</v>
      </c>
      <c r="E65" s="68"/>
      <c r="G65" s="63"/>
      <c r="H65" s="63"/>
    </row>
    <row r="66" spans="1:8" ht="15.75" customHeight="1">
      <c r="A66" s="72" t="s">
        <v>141</v>
      </c>
      <c r="B66" s="74" t="s">
        <v>40</v>
      </c>
      <c r="C66" s="92">
        <f>E61</f>
        <v>0</v>
      </c>
      <c r="D66" s="79" t="s">
        <v>58</v>
      </c>
      <c r="E66" s="68"/>
      <c r="G66" s="63"/>
      <c r="H66" s="63"/>
    </row>
    <row r="67" spans="1:8" ht="15.75" customHeight="1">
      <c r="A67" s="72" t="s">
        <v>142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143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 t="str">
        <f>IF(E69&gt;0,"Предоставляется",0)</f>
        <v>Предоставляется</v>
      </c>
      <c r="D69" s="95" t="s">
        <v>54</v>
      </c>
      <c r="E69" s="94">
        <v>115498.12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36</v>
      </c>
      <c r="C70" s="97">
        <v>8749.86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37</v>
      </c>
      <c r="C71" s="85">
        <v>108961.16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38</v>
      </c>
      <c r="C72" s="92">
        <f>IF(E69-C71&lt;0,0,E69-C71)</f>
        <v>6536.9599999999919</v>
      </c>
      <c r="D72" s="79" t="s">
        <v>58</v>
      </c>
      <c r="E72" s="68"/>
      <c r="G72" s="63"/>
      <c r="H72" s="63"/>
    </row>
    <row r="73" spans="1:8" ht="15.75" customHeight="1">
      <c r="A73" s="72" t="s">
        <v>148</v>
      </c>
      <c r="B73" s="74" t="s">
        <v>39</v>
      </c>
      <c r="C73" s="92">
        <f>E69</f>
        <v>115498.12</v>
      </c>
      <c r="D73" s="79" t="s">
        <v>58</v>
      </c>
      <c r="E73" s="68"/>
      <c r="G73" s="63"/>
      <c r="H73" s="63"/>
    </row>
    <row r="74" spans="1:8" ht="15.75" customHeight="1">
      <c r="A74" s="72" t="s">
        <v>149</v>
      </c>
      <c r="B74" s="74" t="s">
        <v>40</v>
      </c>
      <c r="C74" s="92">
        <f>E69</f>
        <v>115498.12</v>
      </c>
      <c r="D74" s="79" t="s">
        <v>58</v>
      </c>
      <c r="E74" s="68"/>
      <c r="G74" s="63"/>
      <c r="H74" s="63"/>
    </row>
    <row r="75" spans="1:8" ht="15.75" customHeight="1">
      <c r="A75" s="72" t="s">
        <v>150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151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36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37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156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157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158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159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44</v>
      </c>
      <c r="C2" s="104">
        <v>11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45</v>
      </c>
      <c r="C3" s="104">
        <v>10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46</v>
      </c>
      <c r="C4" s="105">
        <v>424471.54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2022-03-28T06:19:01Z</dcterms:modified>
</cp:coreProperties>
</file>