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D4" i="2" l="1"/>
  <c r="C7" i="3"/>
  <c r="J141" i="1" l="1"/>
  <c r="J136" i="1"/>
  <c r="J135" i="1"/>
  <c r="G134" i="1"/>
  <c r="J133" i="1"/>
  <c r="J128" i="1"/>
  <c r="J127" i="1"/>
  <c r="G126" i="1"/>
  <c r="C37" i="3"/>
  <c r="A99" i="1" s="1"/>
  <c r="C45" i="3"/>
  <c r="A106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4" i="1"/>
  <c r="G110" i="1"/>
  <c r="D110" i="1"/>
  <c r="J109" i="1"/>
  <c r="J104" i="1"/>
  <c r="J103" i="1"/>
  <c r="A107" i="1"/>
  <c r="A103" i="1"/>
  <c r="G102" i="1"/>
  <c r="A102" i="1"/>
  <c r="J101" i="1"/>
  <c r="J96" i="1"/>
  <c r="J95" i="1"/>
  <c r="A100" i="1"/>
  <c r="A96" i="1"/>
  <c r="G94" i="1"/>
  <c r="F94" i="1"/>
  <c r="D94" i="1"/>
  <c r="K94" i="1"/>
  <c r="A116" i="1" l="1"/>
  <c r="A111" i="1"/>
  <c r="A110" i="1"/>
  <c r="A112" i="1"/>
  <c r="F110" i="1"/>
  <c r="A113" i="1"/>
  <c r="A141" i="1"/>
  <c r="F134" i="1"/>
  <c r="A97" i="1"/>
  <c r="A98" i="1"/>
  <c r="A101" i="1"/>
  <c r="A94" i="1"/>
  <c r="A95" i="1"/>
  <c r="A119" i="1"/>
  <c r="A137" i="1"/>
  <c r="A122" i="1"/>
  <c r="A118" i="1"/>
  <c r="A123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H173" i="1" l="1"/>
  <c r="F186" i="1"/>
  <c r="F185" i="1"/>
  <c r="F173" i="1"/>
  <c r="H174" i="1"/>
  <c r="H176" i="1"/>
  <c r="F165" i="1"/>
  <c r="H169" i="1"/>
  <c r="H180" i="1"/>
  <c r="F180" i="1"/>
  <c r="H172" i="1"/>
  <c r="F169" i="1"/>
  <c r="H168" i="1"/>
  <c r="H184" i="1"/>
  <c r="F174" i="1"/>
  <c r="F184" i="1"/>
  <c r="F179" i="1"/>
  <c r="H164" i="1"/>
  <c r="F168" i="1"/>
  <c r="F176" i="1"/>
  <c r="H179" i="1"/>
  <c r="H187" i="1"/>
  <c r="F178" i="1"/>
  <c r="H178" i="1"/>
  <c r="H165" i="1"/>
  <c r="F164" i="1"/>
  <c r="H170" i="1"/>
  <c r="H185" i="1"/>
  <c r="H183" i="1"/>
  <c r="H186" i="1"/>
  <c r="F187" i="1"/>
  <c r="F172" i="1"/>
  <c r="F170" i="1"/>
  <c r="F171" i="1"/>
  <c r="H171" i="1"/>
  <c r="F183" i="1"/>
  <c r="H166" i="1"/>
  <c r="H167" i="1"/>
  <c r="F175" i="1"/>
  <c r="H177" i="1"/>
  <c r="F182" i="1"/>
  <c r="F166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<sst xmlns="http://schemas.openxmlformats.org/spreadsheetml/2006/main" count="574" uniqueCount="217">
  <si>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</si>
  <si>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</si>
  <si>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</si>
  <si>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</si>
  <si>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</si>
  <si>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</si>
  <si>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</si>
  <si>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</si>
  <si>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</si>
  <si>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</si>
  <si>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</si>
  <si>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</si>
  <si>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</si>
  <si>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</si>
  <si>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</si>
  <si>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</si>
  <si>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</si>
  <si>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</si>
  <si>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</si>
  <si>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</si>
  <si>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</si>
  <si>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</si>
  <si>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</si>
  <si>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</si>
  <si>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</si>
  <si>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</si>
  <si>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</si>
  <si>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</si>
  <si>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</si>
  <si>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</si>
  <si>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</si>
  <si>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</si>
  <si>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</si>
  <si>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</si>
  <si>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</si>
  <si>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</si>
  <si>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</si>
  <si>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</si>
  <si>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</si>
  <si>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</si>
  <si>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</si>
  <si>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</si>
  <si>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</si>
  <si>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</si>
  <si>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</si>
  <si>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</si>
  <si>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</si>
  <si>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</si>
  <si>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</si>
  <si>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</si>
  <si>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</si>
  <si>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</si>
  <si>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</si>
  <si>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</si>
  <si>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</si>
  <si>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</si>
  <si>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</si>
  <si>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</si>
  <si>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</si>
  <si>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</si>
  <si>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</si>
  <si>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</si>
  <si>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</si>
  <si>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</si>
  <si>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</si>
  <si>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</si>
  <si>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</si>
  <si>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</si>
  <si>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</si>
  <si>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</si>
  <si>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</si>
  <si>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</si>
  <si>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</si>
  <si>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</si>
  <si>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</si>
  <si>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</si>
  <si>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</si>
  <si>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</si>
  <si>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</si>
  <si>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</si>
  <si>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</si>
  <si>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</si>
  <si>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</si>
  <si>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</si>
  <si>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</si>
  <si>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</si>
  <si>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</si>
  <si>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</si>
  <si>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</si>
  <si>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</si>
  <si>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</si>
  <si>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</si>
  <si>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</si>
  <si>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</si>
  <si>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</si>
  <si>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</si>
  <si>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</si>
  <si>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</si>
  <si>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</si>
  <si>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</si>
  <si>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</si>
  <si>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</si>
  <si>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</si>
  <si>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</si>
  <si>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</si>
  <si>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</si>
  <si>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</si>
  <si>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</si>
  <si>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</si>
  <si>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</si>
  <si>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</si>
  <si>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</si>
  <si>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</si>
  <si>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</si>
  <si>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</si>
  <si>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</si>
  <si>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</si>
  <si>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</si>
  <si>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</si>
  <si>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</si>
  <si>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</si>
  <si>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</si>
  <si>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</si>
  <si>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</si>
  <si>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</si>
  <si>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</si>
  <si>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</si>
  <si>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</si>
  <si>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</si>
  <si>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</si>
  <si>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</si>
  <si>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</si>
  <si>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</si>
  <si>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</si>
  <si>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</si>
  <si>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</si>
  <si>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</si>
  <si>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</si>
  <si>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</si>
  <si>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</si>
  <si>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</si>
  <si>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</si>
  <si>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</si>
  <si>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</si>
  <si>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</si>
  <si>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</si>
  <si>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</si>
  <si>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</si>
  <si>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</si>
  <si>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</si>
  <si>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</si>
  <si>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</si>
  <si>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</si>
  <si>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</si>
  <si>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</si>
  <si>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</si>
  <si>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</si>
  <si>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</si>
  <si>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</si>
  <si>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</si>
  <si>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</si>
  <si>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</si>
  <si>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</si>
  <si>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</si>
  <si>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</si>
  <si>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</si>
  <si>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</si>
  <si>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</si>
  <si>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</si>
  <si>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</si>
  <si>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</si>
  <si>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</si>
  <si>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</si>
  <si>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</si>
  <si>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</si>
  <si>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</si>
  <si>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</si>
  <si>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</si>
  <si>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244/3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</si>
  <si>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</si>
  <si>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</si>
  <si>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</si>
  <si>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</si>
  <si>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</si>
  <si>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</si>
  <si>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</si>
  <si>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Техническое обслуживание видеонаблюдения.</t>
  </si>
  <si>
    <t>Отчет об исполнении договора управления многоквартирного дома 
Байкальская, 244/3 в части текущего ремонта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</si>
  <si>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</si>
  <si>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</si>
  <si>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</si>
  <si>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Механизированная уборка и вывоз снега с придомовой территории.</t>
  </si>
  <si>
    <t>АВР 1/21 от 10.03.2021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</si>
  <si>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</si>
  <si>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</si>
  <si>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</si>
  <si>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Приобретение и замена ковриков (1-ый этаж и тамбур).</t>
  </si>
  <si>
    <t>Механизированная уборка и вывоз снега с придомовой территории со стороны ул. Байкальской.</t>
  </si>
  <si>
    <t>АВР 2/21 от 30.03.2021</t>
  </si>
  <si>
    <t>АВР 3/21 от 27.04.2021, Решение, счет №In/O-0290838 от 10.03.2021</t>
  </si>
  <si>
    <t>Замена общедомового прибора учета ХВС.</t>
  </si>
  <si>
    <t>Установка комплекта аварийного освещения кабины пассажирского лифта.</t>
  </si>
  <si>
    <t>АВР 4/21 от 19.08.2021</t>
  </si>
  <si>
    <t>АВР 5/21 от 19.08.2021, счет №112 от 19.05.2021</t>
  </si>
  <si>
    <t>АВР 6/21 от 19.08.2021, Решение, счет №91 от 31.05.2021</t>
  </si>
  <si>
    <t>Ремонт прибора учета тепловой энергии.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</si>
  <si>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</si>
  <si>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</si>
  <si>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</si>
  <si>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</si>
  <si>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</si>
  <si>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</si>
  <si>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</si>
  <si>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</si>
  <si>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7/21 от 16.12.2021, счет №278 от 18.10.2021</t>
  </si>
  <si>
    <t>АВР 8/21 от 31.12.2021</t>
  </si>
  <si>
    <t>АВР 9/21 от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</si>
</sst>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8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23" fillId="0" borderId="0" xfId="5" applyNumberFormat="1" applyFont="1" applyFill="1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/>
    </xf>
    <xf numFmtId="0" fontId="10" fillId="0" borderId="0" xfId="4" applyFill="1" applyBorder="1" applyAlignment="1">
      <alignment horizontal="center"/>
    </xf>
    <xf numFmtId="0" fontId="6" fillId="0" borderId="0" xfId="5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5" applyFont="1" applyFill="1" applyBorder="1" applyAlignment="1"/>
    <xf numFmtId="0" fontId="4" fillId="0" borderId="0" xfId="7" applyFont="1" applyFill="1" applyBorder="1" applyAlignment="1"/>
    <xf numFmtId="0" fontId="4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3" fillId="0" borderId="0" xfId="34" applyFont="1" applyFill="1" applyBorder="1" applyAlignment="1">
      <alignment wrapText="1"/>
    </xf>
    <xf numFmtId="0" fontId="3" fillId="0" borderId="0" xfId="34" applyFont="1" applyFill="1" applyBorder="1" applyAlignment="1">
      <alignment horizontal="center"/>
    </xf>
    <xf numFmtId="4" fontId="3" fillId="0" borderId="0" xfId="34" applyNumberFormat="1" applyFill="1" applyBorder="1" applyAlignment="1"/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0" fontId="2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5" fillId="3" borderId="0" xfId="24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8" fillId="0" borderId="0" xfId="5" applyFont="1" applyFill="1" applyBorder="1" applyAlignment="1"/>
    <xf numFmtId="4" fontId="9" fillId="0" borderId="0" xfId="5" applyNumberFormat="1" applyFill="1" applyBorder="1" applyAlignment="1"/>
    <xf numFmtId="0" fontId="1" fillId="0" borderId="0" xfId="5" applyFont="1" applyFill="1" applyBorder="1"/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36">
    <cellStyle name="Обычный" xfId="0" builtinId="0"/>
    <cellStyle name="Обычный 2" xfId="1"/>
    <cellStyle name="Обычный 2 2" xfId="3"/>
    <cellStyle name="Обычный 2 3" xfId="6"/>
    <cellStyle name="Обычный 2 3 2" xfId="29"/>
    <cellStyle name="Обычный 2 3 3" xfId="20"/>
    <cellStyle name="Обычный 2 4" xfId="16"/>
    <cellStyle name="Обычный 2 5" xfId="24"/>
    <cellStyle name="Обычный 2 6" xfId="10"/>
    <cellStyle name="Обычный 3" xfId="2"/>
    <cellStyle name="Обычный 3 2" xfId="7"/>
    <cellStyle name="Обычный 3 2 2" xfId="30"/>
    <cellStyle name="Обычный 3 2 3" xfId="21"/>
    <cellStyle name="Обычный 3 3" xfId="17"/>
    <cellStyle name="Обычный 3 4" xfId="25"/>
    <cellStyle name="Обычный 3 5" xfId="11"/>
    <cellStyle name="Обычный 4" xfId="4"/>
    <cellStyle name="Обычный 4 2" xfId="8"/>
    <cellStyle name="Обычный 4 2 2" xfId="15"/>
    <cellStyle name="Обычный 4 2 3" xfId="31"/>
    <cellStyle name="Обычный 4 2 4" xfId="22"/>
    <cellStyle name="Обычный 4 3" xfId="18"/>
    <cellStyle name="Обычный 4 4" xfId="26"/>
    <cellStyle name="Обычный 4 5" xfId="12"/>
    <cellStyle name="Обычный 5" xfId="5"/>
    <cellStyle name="Обычный 5 2" xfId="9"/>
    <cellStyle name="Обычный 5 2 2" xfId="32"/>
    <cellStyle name="Обычный 5 2 3" xfId="23"/>
    <cellStyle name="Обычный 5 3" xfId="14"/>
    <cellStyle name="Обычный 5 3 2" xfId="35"/>
    <cellStyle name="Обычный 5 4" xfId="19"/>
    <cellStyle name="Обычный 5 5" xfId="27"/>
    <cellStyle name="Обычный 5 6" xfId="13"/>
    <cellStyle name="Обычный 6" xfId="28"/>
    <cellStyle name="Обычный 6 2" xfId="33"/>
    <cellStyle name="Обычный 6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64" t="s">
        <v>178</v>
      </c>
      <c r="B2" s="164"/>
      <c r="C2" s="164"/>
      <c r="D2" s="164"/>
      <c r="E2" s="164"/>
      <c r="F2" s="164"/>
      <c r="G2" s="164"/>
      <c r="H2" s="164"/>
      <c r="I2" s="164"/>
      <c r="J2" s="164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188</v>
      </c>
      <c r="E4" s="116">
        <v>44197</v>
      </c>
      <c r="K4" s="108"/>
      <c r="L4" s="108"/>
      <c r="M4" s="108"/>
      <c r="N4" s="108"/>
    </row>
    <row r="5" spans="1:18">
      <c r="A5" s="1" t="s">
        <v>0</v>
      </c>
      <c r="E5" s="116">
        <v>44561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24782.65</v>
      </c>
      <c r="K8" s="108"/>
      <c r="L8" s="165"/>
      <c r="M8" s="108"/>
      <c r="N8" s="108"/>
      <c r="O8" s="69" t="s">
        <v>83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08"/>
      <c r="L9" s="165"/>
      <c r="M9" s="108"/>
      <c r="N9" s="108"/>
      <c r="O9" s="69" t="s">
        <v>84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0</v>
      </c>
      <c r="K10" s="108"/>
      <c r="L10" s="165"/>
      <c r="M10" s="108"/>
      <c r="N10" s="108"/>
      <c r="O10" s="69" t="s">
        <v>85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674379.76600000006</v>
      </c>
      <c r="K11" s="108"/>
      <c r="L11" s="165"/>
      <c r="M11" s="108"/>
      <c r="N11" s="108"/>
      <c r="O11" s="69" t="s">
        <v>86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509956.75</v>
      </c>
      <c r="K12" s="108"/>
      <c r="L12" s="165"/>
      <c r="M12" s="108"/>
      <c r="N12" s="108"/>
      <c r="O12" s="69" t="s">
        <v>87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164423.016</v>
      </c>
      <c r="K13" s="108"/>
      <c r="L13" s="165"/>
      <c r="M13" s="108"/>
      <c r="N13" s="108"/>
      <c r="O13" s="69" t="s">
        <v>88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08"/>
      <c r="L14" s="165"/>
      <c r="M14" s="108"/>
      <c r="N14" s="108"/>
      <c r="O14" s="69" t="s">
        <v>89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753494.62</v>
      </c>
      <c r="K15" s="108"/>
      <c r="L15" s="165"/>
      <c r="M15" s="108"/>
      <c r="N15" s="108"/>
      <c r="O15" s="69" t="s">
        <v>90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753494.62</v>
      </c>
      <c r="K16" s="108"/>
      <c r="L16" s="165"/>
      <c r="M16" s="108"/>
      <c r="N16" s="108"/>
      <c r="O16" s="69" t="s">
        <v>91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08"/>
      <c r="L17" s="165"/>
      <c r="M17" s="108"/>
      <c r="N17" s="108"/>
      <c r="O17" s="69" t="s">
        <v>92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08"/>
      <c r="L18" s="165"/>
      <c r="M18" s="108"/>
      <c r="N18" s="108"/>
      <c r="O18" s="69" t="s">
        <v>93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08"/>
      <c r="L19" s="165"/>
      <c r="M19" s="108"/>
      <c r="N19" s="108"/>
      <c r="O19" s="69" t="s">
        <v>94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08"/>
      <c r="L20" s="165"/>
      <c r="M20" s="108"/>
      <c r="N20" s="108"/>
      <c r="O20" s="69" t="s">
        <v>95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753494.62</v>
      </c>
      <c r="K21" s="108"/>
      <c r="L21" s="165"/>
      <c r="M21" s="108"/>
      <c r="N21" s="108"/>
      <c r="O21" s="69" t="s">
        <v>96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103897.50399999996</v>
      </c>
      <c r="K22" s="108"/>
      <c r="L22" s="165"/>
      <c r="M22" s="108"/>
      <c r="N22" s="108"/>
      <c r="O22" s="69" t="s">
        <v>97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08"/>
      <c r="L23" s="165"/>
      <c r="M23" s="108"/>
      <c r="N23" s="108"/>
      <c r="O23" s="69" t="s">
        <v>98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0</v>
      </c>
      <c r="K24" s="108"/>
      <c r="L24" s="165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8"/>
      <c r="L27" s="166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106318.08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08"/>
      <c r="L28" s="166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9" t="str">
        <f>ПТО!A40</f>
        <v>Работы по содержанию лифта (лифтов)</v>
      </c>
      <c r="B29" s="149"/>
      <c r="C29" s="149"/>
      <c r="D29" s="149"/>
      <c r="E29" s="149"/>
      <c r="F29" s="154">
        <f>VLOOKUP(A29,ПТО!$A$39:$D$53,2,FALSE)</f>
        <v>60800.639999999999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08"/>
      <c r="L29" s="166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111301.8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08"/>
      <c r="L30" s="166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39869.279999999999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08"/>
      <c r="L31" s="166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08"/>
      <c r="L32" s="166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11628.6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08"/>
      <c r="L33" s="166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47510.879999999997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08"/>
      <c r="L34" s="166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9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9"/>
      <c r="C35" s="149"/>
      <c r="D35" s="149"/>
      <c r="E35" s="149"/>
      <c r="F35" s="154">
        <f>VLOOKUP(A35,ПТО!$A$39:$D$53,2,FALSE)</f>
        <v>132565.32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08"/>
      <c r="L35" s="166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customHeight="1" outlineLevel="1">
      <c r="A36" s="149" t="str">
        <f>ПТО!A47</f>
        <v>Коммунальные ресурсы на содержание общего имущества</v>
      </c>
      <c r="B36" s="149"/>
      <c r="C36" s="149"/>
      <c r="D36" s="149"/>
      <c r="E36" s="149"/>
      <c r="F36" s="154">
        <f>VLOOKUP(A36,ПТО!$A$39:$D$53,2,FALSE)</f>
        <v>39306.313800000004</v>
      </c>
      <c r="G36" s="154"/>
      <c r="H36" s="42" t="str">
        <f>VLOOKUP(A36,ПТО!$A$39:$D$53,3,FALSE)</f>
        <v>Ежемесячно</v>
      </c>
      <c r="I36" s="150">
        <f>VLOOKUP(A36,ПТО!$A$39:$D$53,4,FALSE)</f>
        <v>12</v>
      </c>
      <c r="J36" s="150"/>
      <c r="K36" s="108"/>
      <c r="L36" s="166"/>
      <c r="M36" s="115"/>
      <c r="N36" s="108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08"/>
      <c r="L37" s="166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08"/>
      <c r="L38" s="166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08"/>
      <c r="L39" s="166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08"/>
      <c r="L40" s="166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08"/>
      <c r="L41" s="166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08"/>
      <c r="L42" s="166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4">
        <f>VLOOKUP(A43,ПТО!$A$2:$D$31,4,FALSE)</f>
        <v>8100</v>
      </c>
      <c r="G43" s="154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08"/>
      <c r="L43" s="166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9" t="str">
        <f>ПТО!A3</f>
        <v>Техническое обслуживание охранной сигнализации.</v>
      </c>
      <c r="B44" s="149"/>
      <c r="C44" s="149"/>
      <c r="D44" s="149"/>
      <c r="E44" s="149"/>
      <c r="F44" s="154">
        <f>VLOOKUP(A44,ПТО!$A$2:$D$31,4,FALSE)</f>
        <v>12000</v>
      </c>
      <c r="G44" s="154"/>
      <c r="H44" s="25" t="str">
        <f>VLOOKUP(A44,ПТО!$A$2:$D$31,2,FALSE)</f>
        <v>ежемесячно</v>
      </c>
      <c r="I44" s="150">
        <f>VLOOKUP(A44,ПТО!$A$2:$D$31,3,FALSE)</f>
        <v>12</v>
      </c>
      <c r="J44" s="150"/>
      <c r="K44" s="108"/>
      <c r="L44" s="166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9" t="str">
        <f>ПТО!A4</f>
        <v>Техническое обслуживание видеонаблюдения.</v>
      </c>
      <c r="B45" s="149"/>
      <c r="C45" s="149"/>
      <c r="D45" s="149"/>
      <c r="E45" s="149"/>
      <c r="F45" s="154">
        <f>VLOOKUP(A45,ПТО!$A$2:$D$31,4,FALSE)</f>
        <v>30000</v>
      </c>
      <c r="G45" s="154"/>
      <c r="H45" s="25" t="str">
        <f>VLOOKUP(A45,ПТО!$A$2:$D$31,2,FALSE)</f>
        <v>ежемесячно</v>
      </c>
      <c r="I45" s="150">
        <f>VLOOKUP(A45,ПТО!$A$2:$D$31,3,FALSE)</f>
        <v>12</v>
      </c>
      <c r="J45" s="150"/>
      <c r="K45" s="108"/>
      <c r="L45" s="166"/>
      <c r="M45" s="115"/>
      <c r="N45" s="108"/>
      <c r="O45" s="23" t="str">
        <f t="shared" si="1"/>
        <v>Техническое обслуживание видеонаблюдения.</v>
      </c>
      <c r="R45" s="22" t="s">
        <v>71</v>
      </c>
    </row>
    <row r="46" spans="1:18" ht="51" customHeight="1" outlineLevel="1">
      <c r="A46" s="149" t="str">
        <f>ПТО!A5</f>
        <v>Механизированная уборка и вывоз снега с придомовой территории со стороны ул. Байкальской.</v>
      </c>
      <c r="B46" s="149"/>
      <c r="C46" s="149"/>
      <c r="D46" s="149"/>
      <c r="E46" s="149"/>
      <c r="F46" s="154">
        <f>VLOOKUP(A46,ПТО!$A$2:$D$31,4,FALSE)</f>
        <v>11128.3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08"/>
      <c r="L46" s="166"/>
      <c r="M46" s="115"/>
      <c r="N46" s="108"/>
      <c r="O46" s="23" t="str">
        <f t="shared" si="1"/>
        <v>Механизированная уборка и вывоз снега с придомовой территории со стороны ул. Байкальской.</v>
      </c>
      <c r="R46" s="22" t="s">
        <v>71</v>
      </c>
    </row>
    <row r="47" spans="1:18" ht="51" customHeight="1" outlineLevel="1">
      <c r="A47" s="149" t="str">
        <f>ПТО!A6</f>
        <v>Механизированная уборка и вывоз снега с придомовой территории.</v>
      </c>
      <c r="B47" s="149"/>
      <c r="C47" s="149"/>
      <c r="D47" s="149"/>
      <c r="E47" s="149"/>
      <c r="F47" s="154">
        <f>VLOOKUP(A47,ПТО!$A$2:$D$31,4,FALSE)</f>
        <v>1580.31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08"/>
      <c r="L47" s="166"/>
      <c r="M47" s="115"/>
      <c r="N47" s="108"/>
      <c r="O47" s="23" t="str">
        <f t="shared" si="1"/>
        <v>Механизированная уборка и вывоз снега с придомовой территории.</v>
      </c>
      <c r="R47" s="22" t="s">
        <v>71</v>
      </c>
    </row>
    <row r="48" spans="1:18" ht="51" customHeight="1" outlineLevel="1">
      <c r="A48" s="149" t="str">
        <f>ПТО!A7</f>
        <v>Приобретение и замена ковриков (1-ый этаж и тамбур).</v>
      </c>
      <c r="B48" s="149"/>
      <c r="C48" s="149"/>
      <c r="D48" s="149"/>
      <c r="E48" s="149"/>
      <c r="F48" s="154">
        <f>VLOOKUP(A48,ПТО!$A$2:$D$31,4,FALSE)</f>
        <v>3264.72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08"/>
      <c r="L48" s="166"/>
      <c r="M48" s="115"/>
      <c r="N48" s="108"/>
      <c r="O48" s="23" t="str">
        <f t="shared" si="1"/>
        <v>Приобретение и замена ковриков (1-ый этаж и тамбур).</v>
      </c>
      <c r="R48" s="22" t="s">
        <v>71</v>
      </c>
    </row>
    <row r="49" spans="1:18" ht="51" customHeight="1" outlineLevel="1">
      <c r="A49" s="149" t="str">
        <f>ПТО!A8</f>
        <v>Замена общедомового прибора учета ХВС.</v>
      </c>
      <c r="B49" s="149"/>
      <c r="C49" s="149"/>
      <c r="D49" s="149"/>
      <c r="E49" s="149"/>
      <c r="F49" s="154">
        <f>VLOOKUP(A49,ПТО!$A$2:$D$31,4,FALSE)</f>
        <v>3513.18</v>
      </c>
      <c r="G49" s="154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08"/>
      <c r="L49" s="166"/>
      <c r="M49" s="115"/>
      <c r="N49" s="108"/>
      <c r="O49" s="23" t="str">
        <f t="shared" si="1"/>
        <v>Замена общедомового прибора учета ХВС.</v>
      </c>
      <c r="R49" s="22" t="s">
        <v>71</v>
      </c>
    </row>
    <row r="50" spans="1:18" ht="51" customHeight="1" outlineLevel="1">
      <c r="A50" s="149" t="str">
        <f>ПТО!A9</f>
        <v>Установка комплекта аварийного освещения кабины пассажирского лифта.</v>
      </c>
      <c r="B50" s="149"/>
      <c r="C50" s="149"/>
      <c r="D50" s="149"/>
      <c r="E50" s="149"/>
      <c r="F50" s="154">
        <f>VLOOKUP(A50,ПТО!$A$2:$D$31,4,FALSE)</f>
        <v>1379</v>
      </c>
      <c r="G50" s="154"/>
      <c r="H50" s="25" t="str">
        <f>VLOOKUP(A50,ПТО!$A$2:$D$31,2,FALSE)</f>
        <v>разово</v>
      </c>
      <c r="I50" s="150">
        <f>VLOOKUP(A50,ПТО!$A$2:$D$31,3,FALSE)</f>
        <v>1</v>
      </c>
      <c r="J50" s="150"/>
      <c r="K50" s="108"/>
      <c r="L50" s="166"/>
      <c r="M50" s="115"/>
      <c r="N50" s="108"/>
      <c r="O50" s="23" t="str">
        <f t="shared" si="1"/>
        <v>Установка комплекта аварийного освещения кабины пассажирского лифта.</v>
      </c>
      <c r="R50" s="22" t="s">
        <v>71</v>
      </c>
    </row>
    <row r="51" spans="1:18" ht="51" customHeight="1" outlineLevel="1">
      <c r="A51" s="149" t="str">
        <f>ПТО!A10</f>
        <v>Ремонт прибора учета тепловой энергии.</v>
      </c>
      <c r="B51" s="149"/>
      <c r="C51" s="149"/>
      <c r="D51" s="149"/>
      <c r="E51" s="149"/>
      <c r="F51" s="154">
        <f>VLOOKUP(A51,ПТО!$A$2:$D$31,4,FALSE)</f>
        <v>6224.4</v>
      </c>
      <c r="G51" s="154"/>
      <c r="H51" s="25" t="str">
        <f>VLOOKUP(A51,ПТО!$A$2:$D$31,2,FALSE)</f>
        <v>разово</v>
      </c>
      <c r="I51" s="150">
        <f>VLOOKUP(A51,ПТО!$A$2:$D$31,3,FALSE)</f>
        <v>1</v>
      </c>
      <c r="J51" s="150"/>
      <c r="K51" s="108"/>
      <c r="L51" s="166"/>
      <c r="M51" s="115"/>
      <c r="N51" s="108"/>
      <c r="O51" s="23" t="str">
        <f t="shared" si="1"/>
        <v>Ремонт прибора учета тепловой энергии.</v>
      </c>
      <c r="R51" s="22" t="s">
        <v>71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08"/>
      <c r="L52" s="166"/>
      <c r="M52" s="115"/>
      <c r="N52" s="108"/>
      <c r="O52" s="23">
        <f t="shared" si="1"/>
        <v>0</v>
      </c>
      <c r="R52" s="22" t="s">
        <v>71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08"/>
      <c r="L53" s="166"/>
      <c r="M53" s="115"/>
      <c r="N53" s="108"/>
      <c r="O53" s="23">
        <f t="shared" si="1"/>
        <v>0</v>
      </c>
      <c r="R53" s="22" t="s">
        <v>71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08"/>
      <c r="L54" s="166"/>
      <c r="M54" s="115"/>
      <c r="N54" s="108"/>
      <c r="O54" s="23">
        <f t="shared" si="1"/>
        <v>0</v>
      </c>
      <c r="R54" s="22" t="s">
        <v>71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08"/>
      <c r="L55" s="166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08"/>
      <c r="L56" s="166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08"/>
      <c r="L57" s="166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08"/>
      <c r="L58" s="166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08"/>
      <c r="L59" s="166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08"/>
      <c r="L60" s="166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08"/>
      <c r="L61" s="166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08"/>
      <c r="L62" s="166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08"/>
      <c r="L63" s="166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08"/>
      <c r="L64" s="166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08"/>
      <c r="L65" s="166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08"/>
      <c r="L66" s="166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08"/>
      <c r="L67" s="166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08"/>
      <c r="L68" s="166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08"/>
      <c r="L69" s="166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08"/>
      <c r="L70" s="166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5"/>
      <c r="L71" s="166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08"/>
      <c r="L72" s="166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67" t="s">
        <v>26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8"/>
      <c r="L75" s="169"/>
      <c r="M75" s="108"/>
      <c r="N75" s="108"/>
      <c r="O75" s="69" t="s">
        <v>100</v>
      </c>
    </row>
    <row r="76" spans="1:16384" ht="18.75" customHeight="1" outlineLevel="1">
      <c r="A76" s="167" t="s">
        <v>27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8"/>
      <c r="L76" s="169"/>
      <c r="M76" s="108"/>
      <c r="N76" s="108"/>
      <c r="O76" s="69" t="s">
        <v>101</v>
      </c>
    </row>
    <row r="77" spans="1:16384" ht="21.75" customHeight="1" outlineLevel="1">
      <c r="A77" s="167" t="s">
        <v>28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8"/>
      <c r="L77" s="169"/>
      <c r="M77" s="108"/>
      <c r="N77" s="108"/>
      <c r="O77" s="69" t="s">
        <v>102</v>
      </c>
    </row>
    <row r="78" spans="1:16384" ht="18.75" customHeight="1" outlineLevel="1">
      <c r="A78" s="167" t="s">
        <v>29</v>
      </c>
      <c r="B78" s="167"/>
      <c r="C78" s="167"/>
      <c r="D78" s="167"/>
      <c r="E78" s="167"/>
      <c r="F78" s="167"/>
      <c r="G78" s="167"/>
      <c r="H78" s="167"/>
      <c r="I78" s="167"/>
      <c r="J78" s="96">
        <f>VLOOKUP(O78,АО,3,FALSE)</f>
        <v>0</v>
      </c>
      <c r="K78" s="108"/>
      <c r="L78" s="169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6">
        <f t="shared" ref="J81:J90" si="2">VLOOKUP(O81,АО,3,FALSE)</f>
        <v>0</v>
      </c>
      <c r="K81" s="108"/>
      <c r="L81" s="155"/>
      <c r="M81" s="108"/>
      <c r="N81" s="108"/>
      <c r="O81" s="69" t="s">
        <v>104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6">
        <f t="shared" si="2"/>
        <v>0</v>
      </c>
      <c r="K82" s="108"/>
      <c r="L82" s="155"/>
      <c r="M82" s="108"/>
      <c r="N82" s="108"/>
      <c r="O82" s="69" t="s">
        <v>105</v>
      </c>
    </row>
    <row r="83" spans="1:15" outlineLevel="1">
      <c r="A83" s="161" t="s">
        <v>3</v>
      </c>
      <c r="B83" s="162"/>
      <c r="C83" s="162"/>
      <c r="D83" s="162"/>
      <c r="E83" s="162"/>
      <c r="F83" s="162"/>
      <c r="G83" s="162"/>
      <c r="H83" s="162"/>
      <c r="I83" s="163"/>
      <c r="J83" s="96">
        <f t="shared" si="2"/>
        <v>142897.68</v>
      </c>
      <c r="K83" s="108"/>
      <c r="L83" s="155"/>
      <c r="M83" s="108"/>
      <c r="N83" s="108"/>
      <c r="O83" s="69" t="s">
        <v>106</v>
      </c>
    </row>
    <row r="84" spans="1:15" outlineLevel="1">
      <c r="A84" s="161" t="s">
        <v>15</v>
      </c>
      <c r="B84" s="162"/>
      <c r="C84" s="162"/>
      <c r="D84" s="162"/>
      <c r="E84" s="162"/>
      <c r="F84" s="162"/>
      <c r="G84" s="162"/>
      <c r="H84" s="162"/>
      <c r="I84" s="163"/>
      <c r="J84" s="96">
        <f t="shared" si="2"/>
        <v>29245.24</v>
      </c>
      <c r="K84" s="108"/>
      <c r="L84" s="155"/>
      <c r="M84" s="108"/>
      <c r="N84" s="108"/>
      <c r="O84" s="69" t="s">
        <v>107</v>
      </c>
    </row>
    <row r="85" spans="1:15" outlineLevel="1">
      <c r="A85" s="161" t="s">
        <v>16</v>
      </c>
      <c r="B85" s="162"/>
      <c r="C85" s="162"/>
      <c r="D85" s="162"/>
      <c r="E85" s="162"/>
      <c r="F85" s="162"/>
      <c r="G85" s="162"/>
      <c r="H85" s="162"/>
      <c r="I85" s="163"/>
      <c r="J85" s="96">
        <f t="shared" si="2"/>
        <v>0</v>
      </c>
      <c r="K85" s="108"/>
      <c r="L85" s="155"/>
      <c r="M85" s="108"/>
      <c r="N85" s="108"/>
      <c r="O85" s="69" t="s">
        <v>108</v>
      </c>
    </row>
    <row r="86" spans="1:15" outlineLevel="1">
      <c r="A86" s="161" t="s">
        <v>17</v>
      </c>
      <c r="B86" s="162"/>
      <c r="C86" s="162"/>
      <c r="D86" s="162"/>
      <c r="E86" s="162"/>
      <c r="F86" s="162"/>
      <c r="G86" s="162"/>
      <c r="H86" s="162"/>
      <c r="I86" s="163"/>
      <c r="J86" s="96">
        <f t="shared" si="2"/>
        <v>0</v>
      </c>
      <c r="K86" s="108"/>
      <c r="L86" s="155"/>
      <c r="M86" s="108"/>
      <c r="N86" s="108"/>
      <c r="O86" s="69" t="s">
        <v>109</v>
      </c>
    </row>
    <row r="87" spans="1:15" ht="18.75" customHeight="1" outlineLevel="1">
      <c r="A87" s="161" t="s">
        <v>26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08"/>
      <c r="L87" s="155"/>
      <c r="M87" s="108"/>
      <c r="N87" s="108"/>
      <c r="O87" s="69" t="s">
        <v>110</v>
      </c>
    </row>
    <row r="88" spans="1:15" ht="18.75" customHeight="1" outlineLevel="1">
      <c r="A88" s="161" t="s">
        <v>27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08"/>
      <c r="L88" s="155"/>
      <c r="M88" s="108"/>
      <c r="N88" s="108"/>
      <c r="O88" s="69" t="s">
        <v>111</v>
      </c>
    </row>
    <row r="89" spans="1:15" ht="18.75" customHeight="1" outlineLevel="1">
      <c r="A89" s="161" t="s">
        <v>28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08"/>
      <c r="L89" s="155"/>
      <c r="M89" s="108"/>
      <c r="N89" s="108"/>
      <c r="O89" s="69" t="s">
        <v>112</v>
      </c>
    </row>
    <row r="90" spans="1:15" ht="18.75" customHeight="1" outlineLevel="1">
      <c r="A90" s="161" t="s">
        <v>29</v>
      </c>
      <c r="B90" s="162"/>
      <c r="C90" s="162"/>
      <c r="D90" s="162"/>
      <c r="E90" s="162"/>
      <c r="F90" s="162"/>
      <c r="G90" s="162"/>
      <c r="H90" s="162"/>
      <c r="I90" s="163"/>
      <c r="J90" s="96">
        <f t="shared" si="2"/>
        <v>0</v>
      </c>
      <c r="K90" s="108"/>
      <c r="L90" s="155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70" t="s">
        <v>47</v>
      </c>
      <c r="B93" s="170"/>
      <c r="C93" s="170"/>
      <c r="D93" s="171" t="s">
        <v>48</v>
      </c>
      <c r="E93" s="171"/>
      <c r="F93" s="10" t="s">
        <v>49</v>
      </c>
      <c r="G93" s="170" t="s">
        <v>50</v>
      </c>
      <c r="H93" s="170"/>
      <c r="I93" s="170"/>
      <c r="J93" s="170"/>
      <c r="K93" s="108"/>
      <c r="L93" s="108"/>
      <c r="M93" s="108"/>
      <c r="N93" s="108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163116.41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135932.01</v>
      </c>
      <c r="L95" s="156"/>
      <c r="O95" s="1" t="s">
        <v>114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330898.78000000003</v>
      </c>
      <c r="L96" s="156"/>
      <c r="O96" s="1" t="s">
        <v>115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116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163116.41</v>
      </c>
      <c r="L98" s="156"/>
      <c r="O98" s="1" t="s">
        <v>117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163116.41</v>
      </c>
      <c r="L99" s="156"/>
      <c r="O99" s="1" t="s">
        <v>118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119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120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47368.24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3588.5</v>
      </c>
      <c r="L103" s="156"/>
      <c r="O103" s="1" t="s">
        <v>123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48297.75</v>
      </c>
      <c r="L104" s="156"/>
      <c r="O104" s="1" t="s">
        <v>124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125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47368.24</v>
      </c>
      <c r="L106" s="156"/>
      <c r="O106" s="1" t="s">
        <v>126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47368.24</v>
      </c>
      <c r="L107" s="156"/>
      <c r="O107" s="1" t="s">
        <v>127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128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129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92827.99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5787.28</v>
      </c>
      <c r="L111" s="156"/>
      <c r="O111" s="1" t="s">
        <v>131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93846.13</v>
      </c>
      <c r="L112" s="156"/>
      <c r="O112" s="1" t="s">
        <v>132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0</v>
      </c>
      <c r="L113" s="156"/>
      <c r="O113" s="1" t="s">
        <v>133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92827.99</v>
      </c>
      <c r="L114" s="156"/>
      <c r="O114" s="1" t="s">
        <v>134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92827.99</v>
      </c>
      <c r="L115" s="156"/>
      <c r="O115" s="1" t="s">
        <v>135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136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137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3">
        <f>VLOOKUP("тко",АО,5,FALSE)</f>
        <v>90773.84</v>
      </c>
      <c r="H118" s="152"/>
      <c r="I118" s="152"/>
      <c r="J118" s="152"/>
      <c r="L118" s="47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168.77</v>
      </c>
      <c r="L119" s="47"/>
      <c r="O119" s="1" t="s">
        <v>139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93029.68</v>
      </c>
      <c r="L120" s="47"/>
      <c r="O120" s="1" t="s">
        <v>140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90773.84</v>
      </c>
      <c r="L122" s="47"/>
      <c r="O122" s="1" t="s">
        <v>142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90773.84</v>
      </c>
      <c r="L123" s="47"/>
      <c r="O123" s="1" t="s">
        <v>143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7"/>
      <c r="O125" s="1" t="s">
        <v>145</v>
      </c>
    </row>
    <row r="126" spans="1:15" ht="32.25" customHeight="1" outlineLevel="1">
      <c r="A126" s="151" t="str">
        <f>IF(VLOOKUP("гвс",АО,3,FALSE)&gt;0,"Горячее водоснабжение",0)</f>
        <v>Горячее водоснабжение</v>
      </c>
      <c r="B126" s="151"/>
      <c r="C126" s="151"/>
      <c r="D126" s="152" t="str">
        <f>IF(VLOOKUP("гвс",АО,3,FALSE)&gt;0,VLOOKUP("гвс",АО,3,FALSE),0)</f>
        <v>Предоставляется</v>
      </c>
      <c r="E126" s="152"/>
      <c r="F126" s="13" t="str">
        <f>IF(VLOOKUP("гвс",АО,3,FALSE)&gt;0,VLOOKUP("гвс",АО,4,FALSE),0)</f>
        <v>куб.м.</v>
      </c>
      <c r="G126" s="153">
        <f>VLOOKUP("гвс",АО,5,FALSE)</f>
        <v>29003.41</v>
      </c>
      <c r="H126" s="152"/>
      <c r="I126" s="152"/>
      <c r="J126" s="152"/>
      <c r="L126" s="47"/>
    </row>
    <row r="127" spans="1:15" ht="32.25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2197.23</v>
      </c>
      <c r="L127" s="47"/>
      <c r="O127" s="1" t="s">
        <v>147</v>
      </c>
    </row>
    <row r="128" spans="1:15" ht="32.25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29160.47</v>
      </c>
      <c r="L128" s="47"/>
      <c r="O128" s="1" t="s">
        <v>148</v>
      </c>
    </row>
    <row r="129" spans="1:15" ht="32.25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7"/>
      <c r="O129" s="1" t="s">
        <v>149</v>
      </c>
    </row>
    <row r="130" spans="1:15" ht="32.25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29003.41</v>
      </c>
      <c r="L130" s="47"/>
      <c r="O130" s="1" t="s">
        <v>150</v>
      </c>
    </row>
    <row r="131" spans="1:15" ht="32.25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29003.41</v>
      </c>
      <c r="L131" s="47"/>
      <c r="O131" s="1" t="s">
        <v>151</v>
      </c>
    </row>
    <row r="132" spans="1:15" ht="32.25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7"/>
      <c r="O132" s="1" t="s">
        <v>152</v>
      </c>
    </row>
    <row r="133" spans="1:15" ht="32.25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7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47" t="s">
        <v>44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171</v>
      </c>
    </row>
    <row r="145" spans="1:15" ht="18.75" customHeight="1" outlineLevel="1">
      <c r="A145" s="147" t="s">
        <v>45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47" t="s">
        <v>174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26219.42</v>
      </c>
      <c r="O146" t="s">
        <v>173</v>
      </c>
    </row>
    <row r="149" spans="1:15" ht="52.5" customHeight="1">
      <c r="A149" s="172" t="s">
        <v>187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188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74" t="s">
        <v>189</v>
      </c>
      <c r="B154" s="174"/>
      <c r="C154" s="174"/>
      <c r="D154" s="174"/>
      <c r="E154" s="27">
        <f>ПТО!G1</f>
        <v>-238720</v>
      </c>
    </row>
    <row r="155" spans="1:15" ht="34.5" customHeight="1">
      <c r="A155" s="173" t="s">
        <v>193</v>
      </c>
      <c r="B155" s="173"/>
      <c r="C155" s="173"/>
      <c r="D155" s="173"/>
      <c r="E155" s="28">
        <f>J13</f>
        <v>164423.016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8100</v>
      </c>
      <c r="G158" s="154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сигнализации.</v>
      </c>
      <c r="B159" s="149"/>
      <c r="C159" s="149"/>
      <c r="D159" s="149"/>
      <c r="E159" s="149"/>
      <c r="F159" s="154">
        <f t="shared" si="15"/>
        <v>12000</v>
      </c>
      <c r="G159" s="154"/>
      <c r="H159" s="24" t="str">
        <f t="shared" si="16"/>
        <v>ежемесячно</v>
      </c>
      <c r="I159" s="150">
        <f t="shared" si="17"/>
        <v>12</v>
      </c>
      <c r="J159" s="15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9" t="str">
        <f t="shared" si="14"/>
        <v>Техническое обслуживание видеонаблюдения.</v>
      </c>
      <c r="B160" s="149"/>
      <c r="C160" s="149"/>
      <c r="D160" s="149"/>
      <c r="E160" s="149"/>
      <c r="F160" s="154">
        <f t="shared" si="15"/>
        <v>30000</v>
      </c>
      <c r="G160" s="154"/>
      <c r="H160" s="24" t="str">
        <f t="shared" si="16"/>
        <v>ежемесячно</v>
      </c>
      <c r="I160" s="150">
        <f t="shared" si="17"/>
        <v>12</v>
      </c>
      <c r="J160" s="150"/>
      <c r="M160" s="22" t="s">
        <v>71</v>
      </c>
      <c r="N160" s="1" t="str">
        <v>Техническое обслуживание видеонаблюдения.</v>
      </c>
    </row>
    <row r="161" spans="1:14" ht="28.5" customHeight="1">
      <c r="A161" s="149" t="str">
        <f>IF(N161&gt;0,N161,0)</f>
        <v>Механизированная уборка и вывоз снега с придомовой территории со стороны ул. Байкальской.</v>
      </c>
      <c r="B161" s="149"/>
      <c r="C161" s="149"/>
      <c r="D161" s="149"/>
      <c r="E161" s="149"/>
      <c r="F161" s="154">
        <f t="shared" si="15"/>
        <v>11128.3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Механизированная уборка и вывоз снега с придомовой территории со стороны ул. Байкальской.</v>
      </c>
    </row>
    <row r="162" spans="1:14" ht="28.5" customHeight="1">
      <c r="A162" s="149" t="str">
        <f t="shared" si="14"/>
        <v>Механизированная уборка и вывоз снега с придомовой территории.</v>
      </c>
      <c r="B162" s="149"/>
      <c r="C162" s="149"/>
      <c r="D162" s="149"/>
      <c r="E162" s="149"/>
      <c r="F162" s="154">
        <f t="shared" si="15"/>
        <v>1580.31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Механизированная уборка и вывоз снега с придомовой территории.</v>
      </c>
    </row>
    <row r="163" spans="1:14" ht="28.5" customHeight="1">
      <c r="A163" s="149" t="str">
        <f t="shared" si="14"/>
        <v>Приобретение и замена ковриков (1-ый этаж и тамбур).</v>
      </c>
      <c r="B163" s="149"/>
      <c r="C163" s="149"/>
      <c r="D163" s="149"/>
      <c r="E163" s="149"/>
      <c r="F163" s="154">
        <f t="shared" si="15"/>
        <v>3264.72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Приобретение и замена ковриков (1-ый этаж и тамбур).</v>
      </c>
    </row>
    <row r="164" spans="1:14" ht="28.5" customHeight="1">
      <c r="A164" s="149" t="str">
        <f t="shared" ref="A164:A187" si="18">IF(N164&gt;0,N164,0)</f>
        <v>Замена общедомового прибора учета ХВС.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3513.18</v>
      </c>
      <c r="G164" s="154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Замена общедомового прибора учета ХВС.</v>
      </c>
    </row>
    <row r="165" spans="1:14" ht="28.5" customHeight="1">
      <c r="A165" s="149" t="str">
        <f t="shared" si="18"/>
        <v>Установка комплекта аварийного освещения кабины пассажирского лифта.</v>
      </c>
      <c r="B165" s="149"/>
      <c r="C165" s="149"/>
      <c r="D165" s="149"/>
      <c r="E165" s="149"/>
      <c r="F165" s="154">
        <f t="shared" si="19"/>
        <v>1379</v>
      </c>
      <c r="G165" s="154"/>
      <c r="H165" s="29" t="str">
        <f t="shared" si="16"/>
        <v>разово</v>
      </c>
      <c r="I165" s="150">
        <f t="shared" si="20"/>
        <v>1</v>
      </c>
      <c r="J165" s="150"/>
      <c r="M165" s="22" t="s">
        <v>71</v>
      </c>
      <c r="N165" s="1" t="str">
        <v>Установка комплекта аварийного освещения кабины пассажирского лифта.</v>
      </c>
    </row>
    <row r="166" spans="1:14" ht="28.5" customHeight="1">
      <c r="A166" s="149" t="str">
        <f t="shared" si="18"/>
        <v>Ремонт прибора учета тепловой энергии.</v>
      </c>
      <c r="B166" s="149"/>
      <c r="C166" s="149"/>
      <c r="D166" s="149"/>
      <c r="E166" s="149"/>
      <c r="F166" s="154">
        <f t="shared" si="19"/>
        <v>6224.4</v>
      </c>
      <c r="G166" s="154"/>
      <c r="H166" s="29" t="str">
        <f t="shared" si="16"/>
        <v>разово</v>
      </c>
      <c r="I166" s="150">
        <f t="shared" si="20"/>
        <v>1</v>
      </c>
      <c r="J166" s="150"/>
      <c r="M166" s="22" t="s">
        <v>71</v>
      </c>
      <c r="N166" s="1" t="str">
        <v>Ремонт прибора учета тепловой энергии.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74" t="s">
        <v>194</v>
      </c>
      <c r="B190" s="174"/>
      <c r="C190" s="174"/>
      <c r="D190" s="174"/>
      <c r="E190" s="27">
        <f>SUM(F158:G187)</f>
        <v>77189.909999999989</v>
      </c>
    </row>
    <row r="191" spans="1:14" ht="51.75" customHeight="1">
      <c r="A191" s="174" t="s">
        <v>195</v>
      </c>
      <c r="B191" s="174"/>
      <c r="C191" s="174"/>
      <c r="D191" s="174"/>
      <c r="E191" s="27">
        <f>E190+E154-E155</f>
        <v>-325953.10600000003</v>
      </c>
    </row>
    <row r="192" spans="1:14">
      <c r="A192" s="103" t="s">
        <v>175</v>
      </c>
    </row>
    <row r="193" spans="1:10" ht="62.25" customHeight="1">
      <c r="A193" s="148" t="s">
        <v>190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48">
        <f>ПТО!G12</f>
        <v>1200</v>
      </c>
      <c r="I194" s="49" t="s">
        <v>74</v>
      </c>
    </row>
    <row r="195" spans="1:10" ht="18.75" customHeight="1">
      <c r="A195" s="146" t="str">
        <f>ПТО!F13</f>
        <v xml:space="preserve">  -  техническое освидетельствование лифта</v>
      </c>
      <c r="B195" s="146"/>
      <c r="C195" s="146"/>
      <c r="D195" s="146"/>
      <c r="E195" s="146"/>
      <c r="F195" s="146"/>
      <c r="G195" s="146"/>
      <c r="H195" s="48">
        <f>ПТО!G13</f>
        <v>8100</v>
      </c>
      <c r="I195" s="49" t="s">
        <v>74</v>
      </c>
    </row>
    <row r="196" spans="1:10" ht="18.75" customHeight="1">
      <c r="A196" s="146" t="str">
        <f>ПТО!F14</f>
        <v xml:space="preserve">  -  техническое обслуживание охранной сигнализации</v>
      </c>
      <c r="B196" s="146"/>
      <c r="C196" s="146"/>
      <c r="D196" s="146"/>
      <c r="E196" s="146"/>
      <c r="F196" s="146"/>
      <c r="G196" s="146"/>
      <c r="H196" s="48">
        <f>ПТО!G14</f>
        <v>12000</v>
      </c>
      <c r="I196" s="49" t="s">
        <v>74</v>
      </c>
    </row>
    <row r="197" spans="1:10" ht="18.75" customHeight="1">
      <c r="A197" s="146" t="str">
        <f>ПТО!F15</f>
        <v xml:space="preserve">  -  техническое обслуживание системы видеонаблюдения</v>
      </c>
      <c r="B197" s="146"/>
      <c r="C197" s="146"/>
      <c r="D197" s="146"/>
      <c r="E197" s="146"/>
      <c r="F197" s="146"/>
      <c r="G197" s="146"/>
      <c r="H197" s="48">
        <f>ПТО!G15</f>
        <v>30000</v>
      </c>
      <c r="I197" s="49" t="s">
        <v>74</v>
      </c>
    </row>
    <row r="198" spans="1:10" ht="18.75" customHeight="1">
      <c r="A198" s="146" t="str">
        <f>ПТО!F16</f>
        <v xml:space="preserve">  -  ремонт подъезда</v>
      </c>
      <c r="B198" s="146"/>
      <c r="C198" s="146"/>
      <c r="D198" s="146"/>
      <c r="E198" s="146"/>
      <c r="F198" s="146"/>
      <c r="G198" s="146"/>
      <c r="H198" s="48">
        <f>ПТО!G16</f>
        <v>450000</v>
      </c>
      <c r="I198" s="51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48">
        <f>ПТО!G17</f>
        <v>0</v>
      </c>
      <c r="I199" s="49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48">
        <f>ПТО!G18</f>
        <v>0</v>
      </c>
      <c r="I200" s="49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48">
        <f>ПТО!G19</f>
        <v>0</v>
      </c>
      <c r="I201" s="49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48">
        <f>ПТО!G20</f>
        <v>0</v>
      </c>
      <c r="I202" s="49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48">
        <f>ПТО!G21</f>
        <v>0</v>
      </c>
      <c r="I203" s="49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48">
        <f>ПТО!G22</f>
        <v>0</v>
      </c>
      <c r="I204" s="49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48">
        <f>ПТО!G23</f>
        <v>0</v>
      </c>
      <c r="I205" s="49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48">
        <f>ПТО!G24</f>
        <v>0</v>
      </c>
      <c r="I206" s="49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48">
        <f>ПТО!G25</f>
        <v>0</v>
      </c>
      <c r="I207" s="49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48">
        <f>ПТО!G26</f>
        <v>0</v>
      </c>
      <c r="I208" s="49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48">
        <f>ПТО!G27</f>
        <v>0</v>
      </c>
      <c r="I209" s="49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48">
        <f>ПТО!G28</f>
        <v>0</v>
      </c>
      <c r="I210" s="49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48">
        <f>ПТО!G29</f>
        <v>0</v>
      </c>
      <c r="I211" s="49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48">
        <f>ПТО!G30</f>
        <v>0</v>
      </c>
      <c r="I212" s="49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501300</v>
      </c>
      <c r="I214" s="55" t="s">
        <v>78</v>
      </c>
    </row>
  </sheetData>
  <sheetProtection algorithmName="SHA-512" hashValue="s5yXpv0RfTHtbFIjrOjdZy67KxahNahuLMw08wKssYjIPbKOXaxcZY8tRG55ElsyIYCORxsD1R5N1Kd+CSxrdg==" saltValue="i4w73ZWxrTT/PwVWPn9OD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189</v>
      </c>
      <c r="G1" s="100">
        <f>-238720</f>
        <v>-238720</v>
      </c>
    </row>
    <row r="2" spans="1:12" ht="18.75" customHeight="1">
      <c r="A2" s="134" t="s">
        <v>72</v>
      </c>
      <c r="B2" s="135" t="s">
        <v>180</v>
      </c>
      <c r="C2" s="135">
        <v>1</v>
      </c>
      <c r="D2" s="117">
        <v>8100</v>
      </c>
      <c r="E2" s="136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179</v>
      </c>
      <c r="B3" s="135" t="s">
        <v>181</v>
      </c>
      <c r="C3" s="135">
        <v>12</v>
      </c>
      <c r="D3" s="144">
        <v>12000</v>
      </c>
      <c r="E3" s="145" t="s">
        <v>215</v>
      </c>
      <c r="F3" s="30"/>
      <c r="G3" s="30"/>
      <c r="L3" s="33" t="str">
        <f t="shared" si="0"/>
        <v>ТР</v>
      </c>
    </row>
    <row r="4" spans="1:12" ht="18.75" customHeight="1">
      <c r="A4" s="143" t="s">
        <v>186</v>
      </c>
      <c r="B4" s="135" t="s">
        <v>181</v>
      </c>
      <c r="C4" s="135">
        <v>12</v>
      </c>
      <c r="D4" s="144">
        <f>2500*12</f>
        <v>30000</v>
      </c>
      <c r="E4" s="145" t="s">
        <v>216</v>
      </c>
      <c r="F4" s="30"/>
      <c r="G4" s="30"/>
      <c r="L4" s="33" t="str">
        <f t="shared" si="0"/>
        <v>ТР</v>
      </c>
    </row>
    <row r="5" spans="1:12" ht="18.75" customHeight="1">
      <c r="A5" s="118" t="s">
        <v>197</v>
      </c>
      <c r="B5" s="119" t="s">
        <v>182</v>
      </c>
      <c r="C5" s="120">
        <v>1</v>
      </c>
      <c r="D5" s="117">
        <v>11128.3</v>
      </c>
      <c r="E5" s="122" t="s">
        <v>192</v>
      </c>
      <c r="F5" s="44"/>
      <c r="G5" s="44"/>
      <c r="K5" s="46"/>
      <c r="L5" s="33" t="str">
        <f t="shared" si="0"/>
        <v>ТР</v>
      </c>
    </row>
    <row r="6" spans="1:12" ht="18.75" customHeight="1">
      <c r="A6" s="118" t="s">
        <v>191</v>
      </c>
      <c r="B6" s="123" t="s">
        <v>182</v>
      </c>
      <c r="C6" s="124">
        <v>1</v>
      </c>
      <c r="D6" s="125">
        <v>1580.31</v>
      </c>
      <c r="E6" s="126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7" t="s">
        <v>196</v>
      </c>
      <c r="B7" s="123" t="s">
        <v>182</v>
      </c>
      <c r="C7" s="124">
        <v>1</v>
      </c>
      <c r="D7" s="125">
        <v>3264.72</v>
      </c>
      <c r="E7" s="126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8" t="s">
        <v>200</v>
      </c>
      <c r="B8" s="129" t="s">
        <v>182</v>
      </c>
      <c r="C8" s="121">
        <v>1</v>
      </c>
      <c r="D8" s="43">
        <v>3513.18</v>
      </c>
      <c r="E8" s="130" t="s">
        <v>203</v>
      </c>
      <c r="F8" s="45"/>
      <c r="G8" s="45"/>
      <c r="K8" s="43"/>
      <c r="L8" s="33" t="str">
        <f t="shared" si="0"/>
        <v>ТР</v>
      </c>
    </row>
    <row r="9" spans="1:12" ht="30">
      <c r="A9" s="131" t="s">
        <v>201</v>
      </c>
      <c r="B9" s="132" t="s">
        <v>182</v>
      </c>
      <c r="C9" s="132">
        <v>1</v>
      </c>
      <c r="D9" s="133">
        <v>1379</v>
      </c>
      <c r="E9" s="126" t="s">
        <v>204</v>
      </c>
      <c r="F9" s="44"/>
      <c r="G9" s="44"/>
      <c r="K9" s="43"/>
      <c r="L9" s="33" t="str">
        <f t="shared" si="0"/>
        <v>ТР</v>
      </c>
    </row>
    <row r="10" spans="1:12">
      <c r="A10" s="142" t="s">
        <v>205</v>
      </c>
      <c r="B10" s="123" t="s">
        <v>182</v>
      </c>
      <c r="C10" s="124">
        <v>1</v>
      </c>
      <c r="D10" s="125">
        <v>6224.4</v>
      </c>
      <c r="E10" s="126" t="s">
        <v>214</v>
      </c>
      <c r="L10" s="33" t="str">
        <f t="shared" si="0"/>
        <v>ТР</v>
      </c>
    </row>
    <row r="11" spans="1:12" ht="94.5">
      <c r="A11" s="30"/>
      <c r="F11" s="110" t="s">
        <v>190</v>
      </c>
      <c r="G11" s="110"/>
      <c r="L11" s="33">
        <f t="shared" si="0"/>
        <v>0</v>
      </c>
    </row>
    <row r="12" spans="1:12" ht="31.5">
      <c r="A12" s="30"/>
      <c r="F12" s="111" t="s">
        <v>73</v>
      </c>
      <c r="G12" s="112">
        <v>1200</v>
      </c>
      <c r="L12" s="33">
        <f t="shared" si="0"/>
        <v>0</v>
      </c>
    </row>
    <row r="13" spans="1:12" ht="31.5">
      <c r="A13" s="30"/>
      <c r="F13" s="111" t="s">
        <v>75</v>
      </c>
      <c r="G13" s="112">
        <v>8100</v>
      </c>
      <c r="L13" s="33">
        <f t="shared" si="0"/>
        <v>0</v>
      </c>
    </row>
    <row r="14" spans="1:12" ht="31.5">
      <c r="A14" s="30"/>
      <c r="F14" s="111" t="s">
        <v>184</v>
      </c>
      <c r="G14" s="112">
        <v>12000</v>
      </c>
      <c r="L14" s="33">
        <f t="shared" si="0"/>
        <v>0</v>
      </c>
    </row>
    <row r="15" spans="1:12" ht="31.5">
      <c r="A15" s="30"/>
      <c r="F15" s="111" t="s">
        <v>76</v>
      </c>
      <c r="G15" s="113">
        <v>30000</v>
      </c>
      <c r="L15" s="33">
        <f t="shared" si="0"/>
        <v>0</v>
      </c>
    </row>
    <row r="16" spans="1:12" ht="15.75">
      <c r="A16" s="30"/>
      <c r="F16" s="111" t="s">
        <v>185</v>
      </c>
      <c r="G16" s="112">
        <v>450000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106318.08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106318.08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60800.639999999999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60800.639999999999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111301.8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111301.8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39869.279999999999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39869.279999999999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11628.6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11628.6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47510.879999999997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47510.879999999997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132565.32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132565.32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206</v>
      </c>
      <c r="B47" s="137">
        <f>(E47*G53*F55*6+E47*G53*G55*6)+(F47*G59*F61*6+F47*G59*G61*6)+(F47*G63*F65*6+F47*G63*G65*6)</f>
        <v>39306.313800000004</v>
      </c>
      <c r="C47" s="138" t="s">
        <v>67</v>
      </c>
      <c r="D47" s="139">
        <v>12</v>
      </c>
      <c r="E47" s="137">
        <v>596.4</v>
      </c>
      <c r="F47" s="137">
        <v>358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39306.313800000004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40"/>
      <c r="C48" s="138"/>
      <c r="D48" s="13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1" t="s">
        <v>207</v>
      </c>
      <c r="F52" s="141" t="s">
        <v>208</v>
      </c>
      <c r="G52" s="141" t="s">
        <v>209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1">
        <v>35.896999999999998</v>
      </c>
      <c r="F53" s="137">
        <v>3141.5</v>
      </c>
      <c r="G53" s="141">
        <v>3.48</v>
      </c>
      <c r="H53" s="141">
        <f>G53*E47/F53</f>
        <v>0.66066274072895104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1"/>
      <c r="F54" s="141" t="s">
        <v>210</v>
      </c>
      <c r="G54" s="141" t="s">
        <v>211</v>
      </c>
      <c r="H54" s="141">
        <f>H53*G56</f>
        <v>39.243366799299693</v>
      </c>
    </row>
    <row r="55" spans="5:16">
      <c r="E55" s="141"/>
      <c r="F55" s="141">
        <v>1.17</v>
      </c>
      <c r="G55" s="141">
        <v>1.23</v>
      </c>
      <c r="H55" s="141"/>
    </row>
    <row r="56" spans="5:16">
      <c r="E56" s="141"/>
      <c r="F56" s="141"/>
      <c r="G56" s="141">
        <v>59.4</v>
      </c>
      <c r="H56" s="141"/>
    </row>
    <row r="57" spans="5:16">
      <c r="E57" s="141"/>
      <c r="F57" s="141"/>
      <c r="G57" s="141"/>
      <c r="H57" s="141"/>
    </row>
    <row r="58" spans="5:16">
      <c r="E58" s="141" t="s">
        <v>212</v>
      </c>
      <c r="F58" s="141"/>
      <c r="G58" s="141"/>
      <c r="H58" s="141"/>
    </row>
    <row r="59" spans="5:16">
      <c r="E59" s="141">
        <v>0.59599999999999997</v>
      </c>
      <c r="F59" s="137">
        <f>F53</f>
        <v>3141.5</v>
      </c>
      <c r="G59" s="141">
        <v>7.4999999999999997E-2</v>
      </c>
      <c r="H59" s="141">
        <f>G59*F47</f>
        <v>26.849999999999998</v>
      </c>
    </row>
    <row r="60" spans="5:16">
      <c r="E60" s="141"/>
      <c r="F60" s="141" t="s">
        <v>210</v>
      </c>
      <c r="G60" s="141" t="s">
        <v>211</v>
      </c>
      <c r="H60" s="141">
        <f>H59/F59</f>
        <v>8.5468725131306687E-3</v>
      </c>
    </row>
    <row r="61" spans="5:16">
      <c r="E61" s="141"/>
      <c r="F61" s="141">
        <v>12.94</v>
      </c>
      <c r="G61" s="141">
        <v>13.45</v>
      </c>
      <c r="H61" s="141">
        <f>H60*G56</f>
        <v>0.50768422727996165</v>
      </c>
    </row>
    <row r="62" spans="5:16">
      <c r="E62" s="141" t="s">
        <v>213</v>
      </c>
      <c r="F62" s="141"/>
      <c r="G62" s="141"/>
      <c r="H62" s="141"/>
    </row>
    <row r="63" spans="5:16">
      <c r="E63" s="141">
        <v>0.59599999999999997</v>
      </c>
      <c r="F63" s="137">
        <f>F53</f>
        <v>3141.5</v>
      </c>
      <c r="G63" s="141">
        <v>7.4999999999999997E-2</v>
      </c>
      <c r="H63" s="141">
        <f>G63*F47</f>
        <v>26.849999999999998</v>
      </c>
    </row>
    <row r="64" spans="5:16">
      <c r="E64" s="141"/>
      <c r="F64" s="141" t="s">
        <v>210</v>
      </c>
      <c r="G64" s="141" t="s">
        <v>211</v>
      </c>
      <c r="H64" s="141">
        <f>H63/F63</f>
        <v>8.5468725131306687E-3</v>
      </c>
    </row>
    <row r="65" spans="4:13" ht="18.75" customHeight="1">
      <c r="E65" s="141"/>
      <c r="F65" s="141">
        <v>15.73</v>
      </c>
      <c r="G65" s="141">
        <v>16.350000000000001</v>
      </c>
      <c r="H65" s="141">
        <f>H64*G56</f>
        <v>0.50768422727996165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183</v>
      </c>
      <c r="F1" s="59">
        <v>2890.7</v>
      </c>
    </row>
    <row r="2" spans="1:10" ht="15.75" customHeight="1">
      <c r="A2" s="69" t="s">
        <v>83</v>
      </c>
      <c r="B2" s="71" t="s">
        <v>1</v>
      </c>
      <c r="C2" s="82">
        <v>24782.65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0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674379.76600000006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509956.75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164423.016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753494.62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753494.62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753494.62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103897.50399999996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0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77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77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77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77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76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76"/>
      <c r="N26" s="62"/>
    </row>
    <row r="27" spans="1:15" ht="18.75" customHeight="1">
      <c r="A27" s="69" t="s">
        <v>106</v>
      </c>
      <c r="B27" s="74" t="s">
        <v>3</v>
      </c>
      <c r="C27" s="85">
        <v>142897.68</v>
      </c>
      <c r="D27" s="80" t="s">
        <v>59</v>
      </c>
      <c r="E27" s="63"/>
      <c r="F27" s="63"/>
      <c r="G27" s="63"/>
      <c r="H27" s="63"/>
      <c r="I27" s="63"/>
      <c r="J27" s="63"/>
      <c r="M27" s="176"/>
      <c r="N27" s="62"/>
    </row>
    <row r="28" spans="1:15" ht="18.75" customHeight="1">
      <c r="A28" s="69" t="s">
        <v>107</v>
      </c>
      <c r="B28" s="74" t="s">
        <v>15</v>
      </c>
      <c r="C28" s="85">
        <v>29245.24</v>
      </c>
      <c r="D28" s="80" t="s">
        <v>64</v>
      </c>
      <c r="E28" s="63"/>
      <c r="F28" s="63"/>
      <c r="G28" s="63"/>
      <c r="H28" s="63"/>
      <c r="I28" s="63"/>
      <c r="J28" s="63"/>
      <c r="M28" s="176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76"/>
      <c r="N29" s="62"/>
    </row>
    <row r="30" spans="1:15" ht="18.75" customHeight="1">
      <c r="A30" s="69" t="s">
        <v>109</v>
      </c>
      <c r="B30" s="74" t="s">
        <v>17</v>
      </c>
      <c r="C30" s="85">
        <v>0</v>
      </c>
      <c r="D30" s="80" t="s">
        <v>65</v>
      </c>
      <c r="E30" s="63"/>
      <c r="F30" s="63"/>
      <c r="G30" s="63"/>
      <c r="H30" s="63"/>
      <c r="I30" s="63"/>
      <c r="J30" s="63"/>
      <c r="M30" s="176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76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76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76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76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163116.41</v>
      </c>
      <c r="F37" s="93" t="s">
        <v>168</v>
      </c>
      <c r="G37" s="65"/>
      <c r="H37" s="65"/>
      <c r="I37" s="65"/>
      <c r="L37" s="62"/>
      <c r="M37" s="175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135932.01</v>
      </c>
      <c r="D38" s="93" t="s">
        <v>166</v>
      </c>
      <c r="E38" s="67"/>
      <c r="G38" s="66"/>
      <c r="H38" s="66"/>
      <c r="L38" s="62"/>
      <c r="M38" s="175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330898.78000000003</v>
      </c>
      <c r="D39" s="93" t="s">
        <v>167</v>
      </c>
      <c r="E39" s="67"/>
      <c r="G39" s="66"/>
      <c r="H39" s="66"/>
      <c r="L39" s="62"/>
      <c r="M39" s="175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0</v>
      </c>
      <c r="D40" s="79" t="s">
        <v>58</v>
      </c>
      <c r="E40" s="67"/>
      <c r="G40" s="66"/>
      <c r="H40" s="66"/>
      <c r="L40" s="62"/>
      <c r="M40" s="175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163116.41</v>
      </c>
      <c r="D41" s="79" t="s">
        <v>58</v>
      </c>
      <c r="E41" s="67"/>
      <c r="G41" s="66"/>
      <c r="H41" s="66"/>
      <c r="L41" s="62"/>
      <c r="M41" s="175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163116.41</v>
      </c>
      <c r="D42" s="79" t="s">
        <v>58</v>
      </c>
      <c r="E42" s="67"/>
      <c r="G42" s="66"/>
      <c r="H42" s="66"/>
      <c r="L42" s="62"/>
      <c r="M42" s="175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75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75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47368.24</v>
      </c>
      <c r="F45" s="93" t="s">
        <v>168</v>
      </c>
      <c r="G45" s="65"/>
      <c r="H45" s="65"/>
      <c r="L45" s="62"/>
      <c r="M45" s="175"/>
      <c r="N45" s="62"/>
      <c r="O45" s="62"/>
    </row>
    <row r="46" spans="1:15" ht="18.75" customHeight="1">
      <c r="A46" s="72" t="s">
        <v>123</v>
      </c>
      <c r="B46" s="77" t="s">
        <v>36</v>
      </c>
      <c r="C46" s="89">
        <v>3588.5</v>
      </c>
      <c r="D46" s="93" t="s">
        <v>169</v>
      </c>
      <c r="E46" s="67"/>
      <c r="G46" s="66"/>
      <c r="H46" s="66"/>
      <c r="L46" s="62"/>
      <c r="M46" s="175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48297.75</v>
      </c>
      <c r="D47" s="93" t="s">
        <v>167</v>
      </c>
      <c r="E47" s="67"/>
      <c r="G47" s="66"/>
      <c r="H47" s="66"/>
      <c r="L47" s="62"/>
      <c r="M47" s="175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75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47368.24</v>
      </c>
      <c r="D49" s="79" t="s">
        <v>58</v>
      </c>
      <c r="E49" s="67"/>
      <c r="G49" s="66"/>
      <c r="H49" s="66"/>
      <c r="L49" s="62"/>
      <c r="M49" s="175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47368.24</v>
      </c>
      <c r="D50" s="79" t="s">
        <v>58</v>
      </c>
      <c r="E50" s="67"/>
      <c r="G50" s="66"/>
      <c r="H50" s="66"/>
      <c r="L50" s="62"/>
      <c r="M50" s="175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75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75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92827.99</v>
      </c>
      <c r="F53" s="93" t="s">
        <v>168</v>
      </c>
      <c r="G53" s="65"/>
      <c r="H53" s="65"/>
      <c r="L53" s="62"/>
      <c r="M53" s="175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5787.28</v>
      </c>
      <c r="D54" s="93" t="s">
        <v>169</v>
      </c>
      <c r="E54" s="68"/>
      <c r="F54" s="88"/>
      <c r="G54" s="63"/>
      <c r="H54" s="63"/>
      <c r="L54" s="62"/>
      <c r="M54" s="175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93846.13</v>
      </c>
      <c r="D55" s="93" t="s">
        <v>167</v>
      </c>
      <c r="E55" s="68"/>
      <c r="G55" s="63"/>
      <c r="H55" s="63"/>
      <c r="L55" s="62"/>
      <c r="M55" s="175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0</v>
      </c>
      <c r="D56" s="79" t="s">
        <v>58</v>
      </c>
      <c r="E56" s="68"/>
      <c r="G56" s="63"/>
      <c r="H56" s="63"/>
      <c r="L56" s="62"/>
      <c r="M56" s="175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92827.99</v>
      </c>
      <c r="D57" s="79" t="s">
        <v>58</v>
      </c>
      <c r="E57" s="68"/>
      <c r="G57" s="63"/>
      <c r="H57" s="63"/>
      <c r="L57" s="62"/>
      <c r="M57" s="175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92827.99</v>
      </c>
      <c r="D58" s="79" t="s">
        <v>58</v>
      </c>
      <c r="E58" s="68"/>
      <c r="G58" s="63"/>
      <c r="H58" s="63"/>
      <c r="L58" s="62"/>
      <c r="M58" s="175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75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75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90773.84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168.77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93029.68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90773.84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90773.84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 t="str">
        <f>IF(E69&gt;0,"Предоставляется",0)</f>
        <v>Предоставляется</v>
      </c>
      <c r="D69" s="95" t="s">
        <v>54</v>
      </c>
      <c r="E69" s="94">
        <v>29003.41</v>
      </c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>
        <v>2197.23</v>
      </c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>
        <v>29160.47</v>
      </c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29003.41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29003.41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>
        <v>0</v>
      </c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26219.42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2022-03-28T05:30:18Z</dcterms:modified>
</cp:coreProperties>
</file>