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8" i="1"/>
  <c r="A105" i="1"/>
  <c r="A104" i="1"/>
  <c r="G102" i="1"/>
  <c r="F102" i="1"/>
  <c r="D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14" i="1"/>
  <c r="A119" i="1"/>
  <c r="A123" i="1"/>
  <c r="A109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83" i="1" l="1"/>
  <c r="F186" i="1"/>
  <c r="H173" i="1"/>
  <c r="F178" i="1"/>
  <c r="H185" i="1"/>
  <c r="H169" i="1"/>
  <c r="F185" i="1"/>
  <c r="F169" i="1"/>
  <c r="H167" i="1"/>
  <c r="F164" i="1"/>
  <c r="H178" i="1"/>
  <c r="H172" i="1"/>
  <c r="F172" i="1"/>
  <c r="H164" i="1"/>
  <c r="F183" i="1"/>
  <c r="F168" i="1"/>
  <c r="H184" i="1"/>
  <c r="H170" i="1"/>
  <c r="F184" i="1"/>
  <c r="F179" i="1"/>
  <c r="H180" i="1"/>
  <c r="H168" i="1"/>
  <c r="F180" i="1"/>
  <c r="F176" i="1"/>
  <c r="H165" i="1"/>
  <c r="H171" i="1"/>
  <c r="F187" i="1"/>
  <c r="F170" i="1"/>
  <c r="F171" i="1"/>
  <c r="H179" i="1"/>
  <c r="H166" i="1"/>
  <c r="F175" i="1"/>
  <c r="H177" i="1"/>
  <c r="F182" i="1"/>
  <c r="F173" i="1"/>
  <c r="H176" i="1"/>
  <c r="F166" i="1"/>
  <c r="H174" i="1"/>
  <c r="H187" i="1"/>
  <c r="F177" i="1"/>
  <c r="H182" i="1"/>
  <c r="F167" i="1"/>
  <c r="F165" i="1"/>
  <c r="F174" i="1"/>
  <c r="H175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<sst xmlns="http://schemas.openxmlformats.org/spreadsheetml/2006/main" count="572" uniqueCount="216">
  <si>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</si>
  <si>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</si>
  <si>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</si>
  <si>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</si>
  <si>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</si>
  <si>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</si>
  <si>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</si>
  <si>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</si>
  <si>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</si>
  <si>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</si>
  <si>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</si>
  <si>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</si>
  <si>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</si>
  <si>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</si>
  <si>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</si>
  <si>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</si>
  <si>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</si>
  <si>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</si>
  <si>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</si>
  <si>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</si>
  <si>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</si>
  <si>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</si>
  <si>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</si>
  <si>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</si>
  <si>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</si>
  <si>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</si>
  <si>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</si>
  <si>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</si>
  <si>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</si>
  <si>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</si>
  <si>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</si>
  <si>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</si>
  <si>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</si>
  <si>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</si>
  <si>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</si>
  <si>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</si>
  <si>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</si>
  <si>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</si>
  <si>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</si>
  <si>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</si>
  <si>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</si>
  <si>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</si>
  <si>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</si>
  <si>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</si>
  <si>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</si>
  <si>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</si>
  <si>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</si>
  <si>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</si>
  <si>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</si>
  <si>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</si>
  <si>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</si>
  <si>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</si>
  <si>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</si>
  <si>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</si>
  <si>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</si>
  <si>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</si>
  <si>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</si>
  <si>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</si>
  <si>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</si>
  <si>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</si>
  <si>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</si>
  <si>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</si>
  <si>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</si>
  <si>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</si>
  <si>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</si>
  <si>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</si>
  <si>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</si>
  <si>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</si>
  <si>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</si>
  <si>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</si>
  <si>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</si>
  <si>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</si>
  <si>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</si>
  <si>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</si>
  <si>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</si>
  <si>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</si>
  <si>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</si>
  <si>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</si>
  <si>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</si>
  <si>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</si>
  <si>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</si>
  <si>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</si>
  <si>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</si>
  <si>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</si>
  <si>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</si>
  <si>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</si>
  <si>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</si>
  <si>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</si>
  <si>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</si>
  <si>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</si>
  <si>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</si>
  <si>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</si>
  <si>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</si>
  <si>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</si>
  <si>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</si>
  <si>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</si>
  <si>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</si>
  <si>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</si>
  <si>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</si>
  <si>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</si>
  <si>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</si>
  <si>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</si>
  <si>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</si>
  <si>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</si>
  <si>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</si>
  <si>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</si>
  <si>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</si>
  <si>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</si>
  <si>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</si>
  <si>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</si>
  <si>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</si>
  <si>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</si>
  <si>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</si>
  <si>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</si>
  <si>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</si>
  <si>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</si>
  <si>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</si>
  <si>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</si>
  <si>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</si>
  <si>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</si>
  <si>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</si>
  <si>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</si>
  <si>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</si>
  <si>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</si>
  <si>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</si>
  <si>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</si>
  <si>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</si>
  <si>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</si>
  <si>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</si>
  <si>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</si>
  <si>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</si>
  <si>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</si>
  <si>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</si>
  <si>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</si>
  <si>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</si>
  <si>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</si>
  <si>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</si>
  <si>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</si>
  <si>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</si>
  <si>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</si>
  <si>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</si>
  <si>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</si>
  <si>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</si>
  <si>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</si>
  <si>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</si>
  <si>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</si>
  <si>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</si>
  <si>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</si>
  <si>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</si>
  <si>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</si>
  <si>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</si>
  <si>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</si>
  <si>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</si>
  <si>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</si>
  <si>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</si>
  <si>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</si>
  <si>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</si>
  <si>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</si>
  <si>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</si>
  <si>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</si>
  <si>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</si>
  <si>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</si>
  <si>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</si>
  <si>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</si>
  <si>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</si>
  <si>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</si>
  <si>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</si>
  <si>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</si>
  <si>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</si>
  <si>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</si>
  <si>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</si>
  <si>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</si>
  <si>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</si>
  <si>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</si>
  <si>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</si>
  <si>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</si>
  <si>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</si>
  <si>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140/1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</si>
  <si>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</si>
  <si>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</si>
  <si>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</si>
  <si>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</si>
  <si>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</si>
  <si>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</si>
  <si>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140/1 в части текущего ремонта</t>
  </si>
  <si>
    <t>разово</t>
  </si>
  <si>
    <t>Приобретение и установка ОДПУ на подпитку ГВС.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</si>
  <si>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</si>
  <si>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</si>
  <si>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</si>
  <si>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</si>
  <si>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</si>
  <si>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АВР 1/21 от 10.02.2021, Решение, Счет №290 30.10.2020</t>
  </si>
  <si>
    <t>Изготовление и монтаж таблички класса энергоэффиктивности.</t>
  </si>
  <si>
    <t>Ремонт системы видеонаблюдения.</t>
  </si>
  <si>
    <t>Благоустройство придомовой территории (приобретение песка).</t>
  </si>
  <si>
    <t>АВР 2/21 от 13.05.2021, счет №14 от 21.01.2021</t>
  </si>
  <si>
    <t>АВР 3/21 от 10.06.2021, Решение</t>
  </si>
  <si>
    <t>Аварийный ремонт теплообменника ГВС.</t>
  </si>
  <si>
    <t>Приобретение и установка ОДПУ ХВС.</t>
  </si>
  <si>
    <t>АВР 4/21 от 06.09.2021, Решение, счет №430 от 15.07.2021, №547 от 25.08.2021</t>
  </si>
  <si>
    <t>АВР 5/21 от 16.09.2021, счет №147 от 16.06.2021</t>
  </si>
  <si>
    <t>Приобретение и установка информационного стенда на детскую площадку.</t>
  </si>
  <si>
    <t>АВР 6/21 от 29.11.2021, Решение</t>
  </si>
  <si>
    <t>АВР 7/21 от 29.11.2021, Решение, счет №25 от 26.05.2021</t>
  </si>
  <si>
    <t>АВР 8/21 от 29.11.2021</t>
  </si>
  <si>
    <t>АВР 9/21 от 29.11.2021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</si>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</sst>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26" fillId="0" borderId="0"/>
    <xf numFmtId="0" fontId="2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2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4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11" fillId="0" borderId="0" xfId="5" applyNumberFormat="1" applyFont="1" applyFill="1" applyBorder="1" applyAlignment="1"/>
    <xf numFmtId="0" fontId="11" fillId="0" borderId="0" xfId="5" applyFont="1" applyFill="1" applyBorder="1" applyAlignment="1">
      <alignment horizontal="center"/>
    </xf>
    <xf numFmtId="0" fontId="11" fillId="0" borderId="0" xfId="5" applyFill="1" applyBorder="1" applyAlignment="1"/>
    <xf numFmtId="0" fontId="10" fillId="0" borderId="0" xfId="5" applyFont="1" applyFill="1" applyBorder="1" applyAlignment="1"/>
    <xf numFmtId="0" fontId="18" fillId="0" borderId="0" xfId="0" applyFont="1" applyBorder="1" applyAlignment="1"/>
    <xf numFmtId="4" fontId="18" fillId="0" borderId="0" xfId="0" applyNumberFormat="1" applyFont="1" applyBorder="1" applyAlignment="1"/>
    <xf numFmtId="0" fontId="7" fillId="0" borderId="0" xfId="4" applyFont="1" applyFill="1" applyBorder="1" applyAlignment="1">
      <alignment horizontal="center"/>
    </xf>
    <xf numFmtId="0" fontId="12" fillId="0" borderId="0" xfId="4" applyFill="1" applyBorder="1" applyAlignment="1">
      <alignment horizontal="center"/>
    </xf>
    <xf numFmtId="0" fontId="4" fillId="0" borderId="0" xfId="16" applyFont="1" applyFill="1" applyBorder="1" applyAlignment="1"/>
    <xf numFmtId="0" fontId="4" fillId="0" borderId="0" xfId="11" applyFont="1" applyFill="1" applyBorder="1" applyAlignment="1">
      <alignment horizontal="center"/>
    </xf>
    <xf numFmtId="0" fontId="8" fillId="0" borderId="0" xfId="11" applyFill="1" applyBorder="1" applyAlignment="1">
      <alignment horizontal="center"/>
    </xf>
    <xf numFmtId="4" fontId="25" fillId="0" borderId="0" xfId="11" applyNumberFormat="1" applyFont="1" applyFill="1" applyBorder="1" applyAlignment="1"/>
    <xf numFmtId="0" fontId="25" fillId="0" borderId="0" xfId="11" applyFont="1" applyFill="1" applyBorder="1" applyAlignment="1"/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0" fillId="0" borderId="0" xfId="0" applyFill="1" applyBorder="1"/>
    <xf numFmtId="0" fontId="3" fillId="0" borderId="0" xfId="2" applyFont="1" applyFill="1" applyBorder="1" applyAlignment="1"/>
    <xf numFmtId="0" fontId="3" fillId="0" borderId="0" xfId="11" applyFont="1" applyFill="1" applyBorder="1" applyAlignment="1">
      <alignment horizontal="center"/>
    </xf>
    <xf numFmtId="0" fontId="2" fillId="0" borderId="0" xfId="25" applyFont="1" applyFill="1" applyBorder="1" applyAlignment="1"/>
    <xf numFmtId="0" fontId="2" fillId="0" borderId="0" xfId="25" applyFont="1" applyFill="1" applyBorder="1" applyAlignment="1">
      <alignment horizontal="center"/>
    </xf>
    <xf numFmtId="1" fontId="2" fillId="0" borderId="0" xfId="25" applyNumberFormat="1" applyFill="1" applyBorder="1" applyAlignment="1">
      <alignment horizontal="center"/>
    </xf>
    <xf numFmtId="4" fontId="2" fillId="0" borderId="0" xfId="25" applyNumberFormat="1" applyFill="1" applyBorder="1" applyAlignment="1"/>
    <xf numFmtId="0" fontId="1" fillId="0" borderId="0" xfId="1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8" fillId="0" borderId="0" xfId="11" applyNumberFormat="1" applyFill="1" applyBorder="1" applyAlignment="1"/>
    <xf numFmtId="0" fontId="1" fillId="0" borderId="0" xfId="5" applyFont="1" applyFill="1" applyBorder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7" fillId="3" borderId="0" xfId="21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34">
    <cellStyle name="Обычный" xfId="0" builtinId="0"/>
    <cellStyle name="Обычный 2" xfId="1"/>
    <cellStyle name="Обычный 2 2" xfId="3"/>
    <cellStyle name="Обычный 2 3" xfId="14"/>
    <cellStyle name="Обычный 2 3 2" xfId="27"/>
    <cellStyle name="Обычный 2 4" xfId="9"/>
    <cellStyle name="Обычный 2 5" xfId="21"/>
    <cellStyle name="Обычный 3" xfId="2"/>
    <cellStyle name="Обычный 3 2" xfId="7"/>
    <cellStyle name="Обычный 3 3" xfId="6"/>
    <cellStyle name="Обычный 3 4" xfId="19"/>
    <cellStyle name="Обычный 3 4 2" xfId="28"/>
    <cellStyle name="Обычный 3 5" xfId="15"/>
    <cellStyle name="Обычный 3 6" xfId="10"/>
    <cellStyle name="Обычный 3 7" xfId="22"/>
    <cellStyle name="Обычный 4" xfId="4"/>
    <cellStyle name="Обычный 4 2" xfId="16"/>
    <cellStyle name="Обычный 4 2 2" xfId="33"/>
    <cellStyle name="Обычный 4 3" xfId="11"/>
    <cellStyle name="Обычный 4 3 2" xfId="29"/>
    <cellStyle name="Обычный 4 4" xfId="23"/>
    <cellStyle name="Обычный 5" xfId="5"/>
    <cellStyle name="Обычный 5 2" xfId="17"/>
    <cellStyle name="Обычный 5 2 2" xfId="30"/>
    <cellStyle name="Обычный 5 3" xfId="12"/>
    <cellStyle name="Обычный 5 3 2" xfId="26"/>
    <cellStyle name="Обычный 5 4" xfId="8"/>
    <cellStyle name="Обычный 5 4 2" xfId="20"/>
    <cellStyle name="Обычный 5 4 2 2" xfId="32"/>
    <cellStyle name="Обычный 5 4 3" xfId="25"/>
    <cellStyle name="Обычный 5 5" xfId="24"/>
    <cellStyle name="Обычный 6" xfId="31"/>
    <cellStyle name="Финансовый 2" xfId="13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5" sqref="L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4" t="s">
        <v>177</v>
      </c>
      <c r="B2" s="174"/>
      <c r="C2" s="174"/>
      <c r="D2" s="174"/>
      <c r="E2" s="174"/>
      <c r="F2" s="174"/>
      <c r="G2" s="174"/>
      <c r="H2" s="174"/>
      <c r="I2" s="174"/>
      <c r="J2" s="17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09"/>
      <c r="L8" s="175"/>
      <c r="M8" s="109"/>
      <c r="N8" s="109"/>
      <c r="O8" s="70" t="s">
        <v>83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09"/>
      <c r="L9" s="175"/>
      <c r="M9" s="109"/>
      <c r="N9" s="109"/>
      <c r="O9" s="70" t="s">
        <v>84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401249.39</v>
      </c>
      <c r="K10" s="109"/>
      <c r="L10" s="175"/>
      <c r="M10" s="109"/>
      <c r="N10" s="109"/>
      <c r="O10" s="70" t="s">
        <v>85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1031291.19</v>
      </c>
      <c r="K11" s="109"/>
      <c r="L11" s="175"/>
      <c r="M11" s="109"/>
      <c r="N11" s="109"/>
      <c r="O11" s="70" t="s">
        <v>86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614769.65</v>
      </c>
      <c r="K12" s="109"/>
      <c r="L12" s="175"/>
      <c r="M12" s="109"/>
      <c r="N12" s="109"/>
      <c r="O12" s="70" t="s">
        <v>87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227965.8</v>
      </c>
      <c r="K13" s="109"/>
      <c r="L13" s="175"/>
      <c r="M13" s="109"/>
      <c r="N13" s="109"/>
      <c r="O13" s="70" t="s">
        <v>88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188555.74</v>
      </c>
      <c r="K14" s="109"/>
      <c r="L14" s="175"/>
      <c r="M14" s="109"/>
      <c r="N14" s="109"/>
      <c r="O14" s="70" t="s">
        <v>89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1063641.57</v>
      </c>
      <c r="K15" s="109"/>
      <c r="L15" s="175"/>
      <c r="M15" s="109"/>
      <c r="N15" s="109"/>
      <c r="O15" s="70" t="s">
        <v>90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1063641.57</v>
      </c>
      <c r="K16" s="109"/>
      <c r="L16" s="175"/>
      <c r="M16" s="109"/>
      <c r="N16" s="109"/>
      <c r="O16" s="70" t="s">
        <v>91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09"/>
      <c r="L17" s="175"/>
      <c r="M17" s="109"/>
      <c r="N17" s="109"/>
      <c r="O17" s="70" t="s">
        <v>92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09"/>
      <c r="L18" s="175"/>
      <c r="M18" s="109"/>
      <c r="N18" s="109"/>
      <c r="O18" s="70" t="s">
        <v>93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09"/>
      <c r="L19" s="175"/>
      <c r="M19" s="109"/>
      <c r="N19" s="109"/>
      <c r="O19" s="70" t="s">
        <v>94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09"/>
      <c r="L20" s="175"/>
      <c r="M20" s="109"/>
      <c r="N20" s="109"/>
      <c r="O20" s="70" t="s">
        <v>95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1063641.57</v>
      </c>
      <c r="K21" s="109"/>
      <c r="L21" s="175"/>
      <c r="M21" s="109"/>
      <c r="N21" s="109"/>
      <c r="O21" s="70" t="s">
        <v>96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09"/>
      <c r="L22" s="175"/>
      <c r="M22" s="109"/>
      <c r="N22" s="109"/>
      <c r="O22" s="70" t="s">
        <v>97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09"/>
      <c r="L23" s="175"/>
      <c r="M23" s="109"/>
      <c r="N23" s="109"/>
      <c r="O23" s="70" t="s">
        <v>98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368899.01</v>
      </c>
      <c r="K24" s="109"/>
      <c r="L24" s="175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09"/>
      <c r="L27" s="17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259989.72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Работы по содержанию лифта (лифтов)</v>
      </c>
      <c r="B29" s="152"/>
      <c r="C29" s="152"/>
      <c r="D29" s="152"/>
      <c r="E29" s="152"/>
      <c r="F29" s="153">
        <f>VLOOKUP(A29,ПТО!$A$39:$D$53,2,FALSE)</f>
        <v>68081.64</v>
      </c>
      <c r="G29" s="153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09"/>
      <c r="L29" s="17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76763.28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54830.879999999997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21932.400000000001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112403.28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2">
        <f>ПТО!A46</f>
        <v>0</v>
      </c>
      <c r="B35" s="152"/>
      <c r="C35" s="152"/>
      <c r="D35" s="152"/>
      <c r="E35" s="152"/>
      <c r="F35" s="153" t="e">
        <f>VLOOKUP(A35,ПТО!$A$39:$D$53,2,FALSE)</f>
        <v>#N/A</v>
      </c>
      <c r="G35" s="153"/>
      <c r="H35" s="42" t="e">
        <f>VLOOKUP(A35,ПТО!$A$39:$D$53,3,FALSE)</f>
        <v>#N/A</v>
      </c>
      <c r="I35" s="154" t="e">
        <f>VLOOKUP(A35,ПТО!$A$39:$D$53,4,FALSE)</f>
        <v>#N/A</v>
      </c>
      <c r="J35" s="154"/>
      <c r="K35" s="109"/>
      <c r="L35" s="176"/>
      <c r="M35" s="116"/>
      <c r="N35" s="109"/>
      <c r="O35" s="23">
        <f t="shared" si="1"/>
        <v>0</v>
      </c>
      <c r="R35" s="1" t="s">
        <v>71</v>
      </c>
    </row>
    <row r="36" spans="1:18" ht="51" customHeight="1" outlineLevel="1">
      <c r="A36" s="152" t="str">
        <f>ПТО!A47</f>
        <v>Коммунальные ресурсы на содержание общего имущества</v>
      </c>
      <c r="B36" s="152"/>
      <c r="C36" s="152"/>
      <c r="D36" s="152"/>
      <c r="E36" s="152"/>
      <c r="F36" s="153">
        <f>VLOOKUP(A36,ПТО!$A$39:$D$53,2,FALSE)</f>
        <v>63372.811049999989</v>
      </c>
      <c r="G36" s="153"/>
      <c r="H36" s="42" t="str">
        <f>VLOOKUP(A36,ПТО!$A$39:$D$53,3,FALSE)</f>
        <v>Ежемесячно</v>
      </c>
      <c r="I36" s="154">
        <f>VLOOKUP(A36,ПТО!$A$39:$D$53,4,FALSE)</f>
        <v>12</v>
      </c>
      <c r="J36" s="154"/>
      <c r="K36" s="109"/>
      <c r="L36" s="176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6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6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6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6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6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6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освидетельствование лифта.</v>
      </c>
      <c r="B43" s="152"/>
      <c r="C43" s="152"/>
      <c r="D43" s="152"/>
      <c r="E43" s="152"/>
      <c r="F43" s="153">
        <f>VLOOKUP(A43,ПТО!$A$2:$D$31,4,FALSE)</f>
        <v>8100</v>
      </c>
      <c r="G43" s="153"/>
      <c r="H43" s="19" t="str">
        <f>VLOOKUP(A43,ПТО!$A$2:$D$31,2,FALSE)</f>
        <v>ежегодно</v>
      </c>
      <c r="I43" s="154">
        <f>VLOOKUP(A43,ПТО!$A$2:$D$31,3,FALSE)</f>
        <v>1</v>
      </c>
      <c r="J43" s="154"/>
      <c r="K43" s="109"/>
      <c r="L43" s="176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2" t="str">
        <f>ПТО!A3</f>
        <v>Техническое обслуживание охранной сигнализации.</v>
      </c>
      <c r="B44" s="152"/>
      <c r="C44" s="152"/>
      <c r="D44" s="152"/>
      <c r="E44" s="152"/>
      <c r="F44" s="153">
        <f>VLOOKUP(A44,ПТО!$A$2:$D$31,4,FALSE)</f>
        <v>3999.96</v>
      </c>
      <c r="G44" s="153"/>
      <c r="H44" s="25" t="str">
        <f>VLOOKUP(A44,ПТО!$A$2:$D$31,2,FALSE)</f>
        <v>ежемесячно</v>
      </c>
      <c r="I44" s="154">
        <f>VLOOKUP(A44,ПТО!$A$2:$D$31,3,FALSE)</f>
        <v>12</v>
      </c>
      <c r="J44" s="154"/>
      <c r="K44" s="109"/>
      <c r="L44" s="176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2" t="str">
        <f>ПТО!A4</f>
        <v>Приобретение и установка ОДПУ на подпитку ГВС.</v>
      </c>
      <c r="B45" s="152"/>
      <c r="C45" s="152"/>
      <c r="D45" s="152"/>
      <c r="E45" s="152"/>
      <c r="F45" s="153">
        <f>VLOOKUP(A45,ПТО!$A$2:$D$31,4,FALSE)</f>
        <v>4127.0600000000004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09"/>
      <c r="L45" s="176"/>
      <c r="M45" s="116"/>
      <c r="N45" s="109"/>
      <c r="O45" s="23" t="str">
        <f t="shared" si="1"/>
        <v>Приобретение и установка ОДПУ на подпитку ГВС.</v>
      </c>
      <c r="R45" s="22" t="s">
        <v>72</v>
      </c>
    </row>
    <row r="46" spans="1:18" ht="51" customHeight="1" outlineLevel="1">
      <c r="A46" s="152" t="str">
        <f>ПТО!A5</f>
        <v>Изготовление и монтаж таблички класса энергоэффиктивности.</v>
      </c>
      <c r="B46" s="152"/>
      <c r="C46" s="152"/>
      <c r="D46" s="152"/>
      <c r="E46" s="152"/>
      <c r="F46" s="153">
        <f>VLOOKUP(A46,ПТО!$A$2:$D$31,4,FALSE)</f>
        <v>216</v>
      </c>
      <c r="G46" s="153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6"/>
      <c r="M46" s="116"/>
      <c r="N46" s="109"/>
      <c r="O46" s="23" t="str">
        <f t="shared" si="1"/>
        <v>Изготовление и монтаж таблички класса энергоэффиктивности.</v>
      </c>
      <c r="R46" s="22" t="s">
        <v>72</v>
      </c>
    </row>
    <row r="47" spans="1:18" ht="51" customHeight="1" outlineLevel="1">
      <c r="A47" s="152" t="str">
        <f>ПТО!A6</f>
        <v>Благоустройство придомовой территории (приобретение песка).</v>
      </c>
      <c r="B47" s="152"/>
      <c r="C47" s="152"/>
      <c r="D47" s="152"/>
      <c r="E47" s="152"/>
      <c r="F47" s="153">
        <f>VLOOKUP(A47,ПТО!$A$2:$D$31,4,FALSE)</f>
        <v>500</v>
      </c>
      <c r="G47" s="153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6"/>
      <c r="M47" s="116"/>
      <c r="N47" s="109"/>
      <c r="O47" s="23" t="str">
        <f t="shared" si="1"/>
        <v>Благоустройство придомовой территории (приобретение песка).</v>
      </c>
      <c r="R47" s="22" t="s">
        <v>72</v>
      </c>
    </row>
    <row r="48" spans="1:18" ht="51" customHeight="1" outlineLevel="1">
      <c r="A48" s="152" t="str">
        <f>ПТО!A7</f>
        <v>Аварийный ремонт теплообменника ГВС.</v>
      </c>
      <c r="B48" s="152"/>
      <c r="C48" s="152"/>
      <c r="D48" s="152"/>
      <c r="E48" s="152"/>
      <c r="F48" s="153">
        <f>VLOOKUP(A48,ПТО!$A$2:$D$31,4,FALSE)</f>
        <v>85047</v>
      </c>
      <c r="G48" s="153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6"/>
      <c r="M48" s="116"/>
      <c r="N48" s="109"/>
      <c r="O48" s="23" t="str">
        <f t="shared" si="1"/>
        <v>Аварийный ремонт теплообменника ГВС.</v>
      </c>
      <c r="R48" s="22" t="s">
        <v>72</v>
      </c>
    </row>
    <row r="49" spans="1:18" ht="51" customHeight="1" outlineLevel="1">
      <c r="A49" s="152" t="str">
        <f>ПТО!A8</f>
        <v>Приобретение и установка ОДПУ ХВС.</v>
      </c>
      <c r="B49" s="152"/>
      <c r="C49" s="152"/>
      <c r="D49" s="152"/>
      <c r="E49" s="152"/>
      <c r="F49" s="153">
        <f>VLOOKUP(A49,ПТО!$A$2:$D$31,4,FALSE)</f>
        <v>5867</v>
      </c>
      <c r="G49" s="153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09"/>
      <c r="L49" s="176"/>
      <c r="M49" s="116"/>
      <c r="N49" s="109"/>
      <c r="O49" s="23" t="str">
        <f t="shared" si="1"/>
        <v>Приобретение и установка ОДПУ ХВС.</v>
      </c>
      <c r="R49" s="22" t="s">
        <v>72</v>
      </c>
    </row>
    <row r="50" spans="1:18" ht="51" customHeight="1" outlineLevel="1">
      <c r="A50" s="152" t="str">
        <f>ПТО!A9</f>
        <v>Приобретение и установка информационного стенда на детскую площадку.</v>
      </c>
      <c r="B50" s="152"/>
      <c r="C50" s="152"/>
      <c r="D50" s="152"/>
      <c r="E50" s="152"/>
      <c r="F50" s="153">
        <f>VLOOKUP(A50,ПТО!$A$2:$D$31,4,FALSE)</f>
        <v>542.4</v>
      </c>
      <c r="G50" s="153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09"/>
      <c r="L50" s="176"/>
      <c r="M50" s="116"/>
      <c r="N50" s="109"/>
      <c r="O50" s="23" t="str">
        <f t="shared" si="1"/>
        <v>Приобретение и установка информационного стенда на детскую площадку.</v>
      </c>
      <c r="R50" s="22" t="s">
        <v>72</v>
      </c>
    </row>
    <row r="51" spans="1:18" ht="51" customHeight="1" outlineLevel="1">
      <c r="A51" s="152" t="str">
        <f>ПТО!A10</f>
        <v>Ремонт системы видеонаблюдения.</v>
      </c>
      <c r="B51" s="152"/>
      <c r="C51" s="152"/>
      <c r="D51" s="152"/>
      <c r="E51" s="152"/>
      <c r="F51" s="153">
        <f>VLOOKUP(A51,ПТО!$A$2:$D$31,4,FALSE)</f>
        <v>9598</v>
      </c>
      <c r="G51" s="153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09"/>
      <c r="L51" s="176"/>
      <c r="M51" s="116"/>
      <c r="N51" s="109"/>
      <c r="O51" s="23" t="str">
        <f t="shared" si="1"/>
        <v>Ремонт системы видеонаблюдения.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09"/>
      <c r="L52" s="176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09"/>
      <c r="L53" s="176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09"/>
      <c r="L54" s="176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09"/>
      <c r="L55" s="176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09"/>
      <c r="L56" s="176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6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6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6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6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6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6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6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6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6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6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6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6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6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6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6"/>
      <c r="L71" s="176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6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9"/>
      <c r="L75" s="159"/>
      <c r="M75" s="109"/>
      <c r="N75" s="109"/>
      <c r="O75" s="70" t="s">
        <v>100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9"/>
      <c r="L76" s="159"/>
      <c r="M76" s="109"/>
      <c r="N76" s="109"/>
      <c r="O76" s="70" t="s">
        <v>101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9"/>
      <c r="L77" s="159"/>
      <c r="M77" s="109"/>
      <c r="N77" s="109"/>
      <c r="O77" s="70" t="s">
        <v>102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7">
        <f>VLOOKUP(O78,АО,3,FALSE)</f>
        <v>0</v>
      </c>
      <c r="K78" s="109"/>
      <c r="L78" s="159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7">
        <f t="shared" ref="J81:J90" si="2">VLOOKUP(O81,АО,3,FALSE)</f>
        <v>0</v>
      </c>
      <c r="K81" s="109"/>
      <c r="L81" s="177"/>
      <c r="M81" s="109"/>
      <c r="N81" s="109"/>
      <c r="O81" s="70" t="s">
        <v>104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7">
        <f t="shared" si="2"/>
        <v>0</v>
      </c>
      <c r="K82" s="109"/>
      <c r="L82" s="177"/>
      <c r="M82" s="109"/>
      <c r="N82" s="109"/>
      <c r="O82" s="70" t="s">
        <v>105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325192.18</v>
      </c>
      <c r="K83" s="109"/>
      <c r="L83" s="177"/>
      <c r="M83" s="109"/>
      <c r="N83" s="109"/>
      <c r="O83" s="70" t="s">
        <v>106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09"/>
      <c r="L84" s="177"/>
      <c r="M84" s="109"/>
      <c r="N84" s="109"/>
      <c r="O84" s="70" t="s">
        <v>107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09"/>
      <c r="L85" s="177"/>
      <c r="M85" s="109"/>
      <c r="N85" s="109"/>
      <c r="O85" s="70" t="s">
        <v>108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273646.21999999997</v>
      </c>
      <c r="K86" s="109"/>
      <c r="L86" s="177"/>
      <c r="M86" s="109"/>
      <c r="N86" s="109"/>
      <c r="O86" s="70" t="s">
        <v>109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77"/>
      <c r="M87" s="109"/>
      <c r="N87" s="109"/>
      <c r="O87" s="70" t="s">
        <v>110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77"/>
      <c r="M88" s="109"/>
      <c r="N88" s="109"/>
      <c r="O88" s="70" t="s">
        <v>111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77"/>
      <c r="M89" s="109"/>
      <c r="N89" s="109"/>
      <c r="O89" s="70" t="s">
        <v>112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09"/>
      <c r="L90" s="177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1" t="s">
        <v>48</v>
      </c>
      <c r="B93" s="161"/>
      <c r="C93" s="161"/>
      <c r="D93" s="164" t="s">
        <v>49</v>
      </c>
      <c r="E93" s="164"/>
      <c r="F93" s="10" t="s">
        <v>50</v>
      </c>
      <c r="G93" s="161" t="s">
        <v>51</v>
      </c>
      <c r="H93" s="161"/>
      <c r="I93" s="161"/>
      <c r="J93" s="161"/>
      <c r="K93" s="109"/>
      <c r="L93" s="109"/>
      <c r="M93" s="109"/>
      <c r="N93" s="109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2">
        <f>VLOOKUP("эл",АО,5,FALSE)</f>
        <v>51772.36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43143.63</v>
      </c>
      <c r="L95" s="178"/>
      <c r="O95" s="1" t="s">
        <v>114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51466.43</v>
      </c>
      <c r="L96" s="178"/>
      <c r="O96" s="1" t="s">
        <v>115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305.93000000000029</v>
      </c>
      <c r="L97" s="178"/>
      <c r="O97" s="1" t="s">
        <v>116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51772.36</v>
      </c>
      <c r="L98" s="178"/>
      <c r="O98" s="1" t="s">
        <v>117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51772.36</v>
      </c>
      <c r="L99" s="178"/>
      <c r="O99" s="1" t="s">
        <v>118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119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120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88584.38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6710.94</v>
      </c>
      <c r="L103" s="178"/>
      <c r="O103" s="1" t="s">
        <v>123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94669.67</v>
      </c>
      <c r="L104" s="178"/>
      <c r="O104" s="1" t="s">
        <v>124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0</v>
      </c>
      <c r="L105" s="178"/>
      <c r="O105" s="1" t="s">
        <v>125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88584.38</v>
      </c>
      <c r="L106" s="178"/>
      <c r="O106" s="1" t="s">
        <v>126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88584.38</v>
      </c>
      <c r="L107" s="178"/>
      <c r="O107" s="1" t="s">
        <v>127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128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129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171205.44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10673.66</v>
      </c>
      <c r="L111" s="178"/>
      <c r="O111" s="1" t="s">
        <v>131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179266.38</v>
      </c>
      <c r="L112" s="178"/>
      <c r="O112" s="1" t="s">
        <v>132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0</v>
      </c>
      <c r="L113" s="178"/>
      <c r="O113" s="1" t="s">
        <v>133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171205.44</v>
      </c>
      <c r="L114" s="178"/>
      <c r="O114" s="1" t="s">
        <v>134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171205.44</v>
      </c>
      <c r="L115" s="178"/>
      <c r="O115" s="1" t="s">
        <v>135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136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137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2">
        <f>VLOOKUP("тко",АО,5,FALSE)</f>
        <v>0</v>
      </c>
      <c r="H118" s="163"/>
      <c r="I118" s="163"/>
      <c r="J118" s="163"/>
      <c r="L118" s="47"/>
    </row>
    <row r="119" spans="1:15" ht="32.25" hidden="1" customHeight="1" outlineLevel="2">
      <c r="A119" s="160">
        <f t="shared" ref="A119:A125" si="8">IF(VLOOKUP("тко",АО,3,FALSE)&gt;0,VLOOKUP(O119,АО,2,FALSE),0)</f>
        <v>0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60">
        <f t="shared" si="8"/>
        <v>0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7716.81</v>
      </c>
      <c r="L120" s="47"/>
      <c r="O120" s="1" t="s">
        <v>140</v>
      </c>
    </row>
    <row r="121" spans="1:15" ht="32.25" hidden="1" customHeight="1" outlineLevel="2">
      <c r="A121" s="160">
        <f t="shared" si="8"/>
        <v>0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60">
        <f t="shared" si="8"/>
        <v>0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60">
        <f t="shared" si="8"/>
        <v>0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60">
        <f t="shared" si="8"/>
        <v>0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60">
        <f t="shared" si="8"/>
        <v>0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5" t="str">
        <f>IF(VLOOKUP("гвс",АО,3,FALSE)&gt;0,"Горячее водоснабжение",0)</f>
        <v>Горячее водоснабжение</v>
      </c>
      <c r="B126" s="165"/>
      <c r="C126" s="165"/>
      <c r="D126" s="163" t="str">
        <f>IF(VLOOKUP("гвс",АО,3,FALSE)&gt;0,VLOOKUP("гвс",АО,3,FALSE),0)</f>
        <v>Предоставляется</v>
      </c>
      <c r="E126" s="163"/>
      <c r="F126" s="13" t="str">
        <f>IF(VLOOKUP("гвс",АО,3,FALSE)&gt;0,VLOOKUP("гвс",АО,4,FALSE),0)</f>
        <v>куб.м.</v>
      </c>
      <c r="G126" s="162">
        <f>VLOOKUP("гвс",АО,5,FALSE)</f>
        <v>43283.1</v>
      </c>
      <c r="H126" s="163"/>
      <c r="I126" s="163"/>
      <c r="J126" s="163"/>
      <c r="L126" s="47"/>
    </row>
    <row r="127" spans="1:15" ht="32.25" hidden="1" customHeight="1" outlineLevel="2">
      <c r="A127" s="160" t="str">
        <f t="shared" ref="A127:A133" si="10">IF(VLOOKUP("гвс",АО,3,FALSE)&gt;0,VLOOKUP(O127,АО,2,FALSE),0)</f>
        <v>Общий объем потребления, нат. показ.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3279.02</v>
      </c>
      <c r="L127" s="47"/>
      <c r="O127" s="1" t="s">
        <v>147</v>
      </c>
    </row>
    <row r="128" spans="1:15" ht="32.25" hidden="1" customHeight="1" outlineLevel="2">
      <c r="A128" s="160" t="str">
        <f t="shared" si="10"/>
        <v>Оплачено потребителями, руб.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73271.95</v>
      </c>
      <c r="L128" s="47"/>
      <c r="O128" s="1" t="s">
        <v>148</v>
      </c>
    </row>
    <row r="129" spans="1:15" ht="32.25" hidden="1" customHeight="1" outlineLevel="2">
      <c r="A129" s="160" t="str">
        <f t="shared" si="10"/>
        <v>Задолженность потребителей, руб.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0" t="str">
        <f t="shared" si="10"/>
        <v>Начислено поставщиком (поставщиками) коммунального ресурса, руб.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43283.1</v>
      </c>
      <c r="L130" s="47"/>
      <c r="O130" s="1" t="s">
        <v>150</v>
      </c>
    </row>
    <row r="131" spans="1:15" ht="32.25" hidden="1" customHeight="1" outlineLevel="2">
      <c r="A131" s="160" t="str">
        <f t="shared" si="10"/>
        <v>Оплачено поставщику (поставщикам) коммунального ресурса, руб.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43283.1</v>
      </c>
      <c r="L131" s="47"/>
      <c r="O131" s="1" t="s">
        <v>151</v>
      </c>
    </row>
    <row r="132" spans="1:15" ht="32.25" hidden="1" customHeight="1" outlineLevel="2">
      <c r="A132" s="160" t="str">
        <f t="shared" si="10"/>
        <v>Задолженность перед поставщиком (поставщиками) коммунального ресурса, руб.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0" t="str">
        <f t="shared" si="10"/>
        <v>Размер пени и штрафов, уплаченных поставщику (поставщикам) коммунального ресурса, руб.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1</v>
      </c>
      <c r="O144" t="s">
        <v>171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5</v>
      </c>
      <c r="L145" s="15"/>
      <c r="O145" t="s">
        <v>172</v>
      </c>
    </row>
    <row r="146" spans="1:15" ht="30" customHeight="1" outlineLevel="1">
      <c r="A146" s="160" t="s">
        <v>174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194354.11</v>
      </c>
      <c r="O146" t="s">
        <v>173</v>
      </c>
    </row>
    <row r="149" spans="1:15" ht="52.5" customHeight="1">
      <c r="A149" s="156" t="s">
        <v>184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5" t="s">
        <v>188</v>
      </c>
      <c r="B154" s="155"/>
      <c r="C154" s="155"/>
      <c r="D154" s="155"/>
      <c r="E154" s="27">
        <f>ПТО!G1</f>
        <v>-266680.34000000003</v>
      </c>
    </row>
    <row r="155" spans="1:15" ht="34.5" customHeight="1">
      <c r="A155" s="157" t="s">
        <v>189</v>
      </c>
      <c r="B155" s="157"/>
      <c r="C155" s="157"/>
      <c r="D155" s="157"/>
      <c r="E155" s="28">
        <f>J13</f>
        <v>227965.8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2" t="str">
        <f t="shared" ref="A158:A163" si="14">IF(N158&gt;0,N158,0)</f>
        <v>Техническое освидетельствование лифта.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8100</v>
      </c>
      <c r="G158" s="153"/>
      <c r="H158" s="24" t="str">
        <f t="shared" ref="H158:H187" si="16">VLOOKUP(A158,$A$28:$J$72,8,FALSE)</f>
        <v>ежегодно</v>
      </c>
      <c r="I158" s="154">
        <f t="shared" ref="I158:I161" si="17">VLOOKUP(A158,$A$28:$J$72,9,FALSE)</f>
        <v>1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2" t="str">
        <f t="shared" si="14"/>
        <v>Техническое обслуживание охранной сигнализации.</v>
      </c>
      <c r="B159" s="152"/>
      <c r="C159" s="152"/>
      <c r="D159" s="152"/>
      <c r="E159" s="152"/>
      <c r="F159" s="153">
        <f t="shared" si="15"/>
        <v>3999.96</v>
      </c>
      <c r="G159" s="153"/>
      <c r="H159" s="24" t="str">
        <f t="shared" si="16"/>
        <v>ежемесячно</v>
      </c>
      <c r="I159" s="154">
        <f t="shared" si="17"/>
        <v>12</v>
      </c>
      <c r="J159" s="154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2" t="str">
        <f t="shared" si="14"/>
        <v>Приобретение и установка ОДПУ на подпитку ГВС.</v>
      </c>
      <c r="B160" s="152"/>
      <c r="C160" s="152"/>
      <c r="D160" s="152"/>
      <c r="E160" s="152"/>
      <c r="F160" s="153">
        <f t="shared" si="15"/>
        <v>4127.0600000000004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Приобретение и установка ОДПУ на подпитку ГВС.</v>
      </c>
    </row>
    <row r="161" spans="1:14" ht="28.5" customHeight="1">
      <c r="A161" s="152" t="str">
        <f>IF(N161&gt;0,N161,0)</f>
        <v>Изготовление и монтаж таблички класса энергоэффиктивности.</v>
      </c>
      <c r="B161" s="152"/>
      <c r="C161" s="152"/>
      <c r="D161" s="152"/>
      <c r="E161" s="152"/>
      <c r="F161" s="153">
        <f t="shared" si="15"/>
        <v>216</v>
      </c>
      <c r="G161" s="153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Изготовление и монтаж таблички класса энергоэффиктивности.</v>
      </c>
    </row>
    <row r="162" spans="1:14" ht="28.5" customHeight="1">
      <c r="A162" s="152" t="str">
        <f t="shared" si="14"/>
        <v>Благоустройство придомовой территории (приобретение песка).</v>
      </c>
      <c r="B162" s="152"/>
      <c r="C162" s="152"/>
      <c r="D162" s="152"/>
      <c r="E162" s="152"/>
      <c r="F162" s="153">
        <f t="shared" si="15"/>
        <v>500</v>
      </c>
      <c r="G162" s="153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Благоустройство придомовой территории (приобретение песка).</v>
      </c>
    </row>
    <row r="163" spans="1:14" ht="28.5" customHeight="1">
      <c r="A163" s="152" t="str">
        <f t="shared" si="14"/>
        <v>Аварийный ремонт теплообменника ГВС.</v>
      </c>
      <c r="B163" s="152"/>
      <c r="C163" s="152"/>
      <c r="D163" s="152"/>
      <c r="E163" s="152"/>
      <c r="F163" s="153">
        <f t="shared" si="15"/>
        <v>85047</v>
      </c>
      <c r="G163" s="153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Аварийный ремонт теплообменника ГВС.</v>
      </c>
    </row>
    <row r="164" spans="1:14" ht="28.5" customHeight="1">
      <c r="A164" s="152" t="str">
        <f t="shared" ref="A164:A187" si="18">IF(N164&gt;0,N164,0)</f>
        <v>Приобретение и установка ОДПУ ХВС.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5867</v>
      </c>
      <c r="G164" s="153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Приобретение и установка ОДПУ ХВС.</v>
      </c>
    </row>
    <row r="165" spans="1:14" ht="28.5" customHeight="1">
      <c r="A165" s="152" t="str">
        <f t="shared" si="18"/>
        <v>Приобретение и установка информационного стенда на детскую площадку.</v>
      </c>
      <c r="B165" s="152"/>
      <c r="C165" s="152"/>
      <c r="D165" s="152"/>
      <c r="E165" s="152"/>
      <c r="F165" s="153">
        <f t="shared" si="19"/>
        <v>542.4</v>
      </c>
      <c r="G165" s="153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Приобретение и установка информационного стенда на детскую площадку.</v>
      </c>
    </row>
    <row r="166" spans="1:14" ht="28.5" customHeight="1">
      <c r="A166" s="152" t="str">
        <f t="shared" si="18"/>
        <v>Ремонт системы видеонаблюдения.</v>
      </c>
      <c r="B166" s="152"/>
      <c r="C166" s="152"/>
      <c r="D166" s="152"/>
      <c r="E166" s="152"/>
      <c r="F166" s="153">
        <f t="shared" si="19"/>
        <v>9598</v>
      </c>
      <c r="G166" s="153"/>
      <c r="H166" s="29" t="str">
        <f t="shared" si="16"/>
        <v>разово</v>
      </c>
      <c r="I166" s="154">
        <f t="shared" si="20"/>
        <v>1</v>
      </c>
      <c r="J166" s="154"/>
      <c r="M166" s="22" t="s">
        <v>72</v>
      </c>
      <c r="N166" s="1" t="str">
        <v>Ремонт системы видеонаблюдения.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3">
        <f t="shared" si="19"/>
        <v>0</v>
      </c>
      <c r="G167" s="153"/>
      <c r="H167" s="29" t="e">
        <f t="shared" si="16"/>
        <v>#N/A</v>
      </c>
      <c r="I167" s="154" t="e">
        <f t="shared" si="20"/>
        <v>#N/A</v>
      </c>
      <c r="J167" s="154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3">
        <f t="shared" si="19"/>
        <v>0</v>
      </c>
      <c r="G168" s="153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3">
        <f t="shared" si="19"/>
        <v>0</v>
      </c>
      <c r="G169" s="153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3">
        <f t="shared" si="19"/>
        <v>0</v>
      </c>
      <c r="G170" s="153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3">
        <f t="shared" si="19"/>
        <v>0</v>
      </c>
      <c r="G171" s="153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55" t="s">
        <v>190</v>
      </c>
      <c r="B190" s="155"/>
      <c r="C190" s="155"/>
      <c r="D190" s="155"/>
      <c r="E190" s="27">
        <f>SUM(F158:G187)</f>
        <v>117997.42</v>
      </c>
    </row>
    <row r="191" spans="1:14" ht="51.75" customHeight="1">
      <c r="A191" s="155" t="s">
        <v>191</v>
      </c>
      <c r="B191" s="155"/>
      <c r="C191" s="155"/>
      <c r="D191" s="155"/>
      <c r="E191" s="27">
        <f>E190+E154-E155</f>
        <v>-376648.72000000003</v>
      </c>
    </row>
    <row r="192" spans="1:14">
      <c r="A192" s="104" t="s">
        <v>175</v>
      </c>
    </row>
    <row r="193" spans="1:10" ht="62.25" customHeight="1">
      <c r="A193" s="180" t="s">
        <v>187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>
      <c r="A194" s="179" t="str">
        <f>ПТО!F12</f>
        <v xml:space="preserve">  -  поверка (замена) манометров и термометров</v>
      </c>
      <c r="B194" s="179"/>
      <c r="C194" s="179"/>
      <c r="D194" s="179"/>
      <c r="E194" s="179"/>
      <c r="F194" s="179"/>
      <c r="G194" s="179"/>
      <c r="H194" s="49">
        <f>ПТО!G12</f>
        <v>1200</v>
      </c>
      <c r="I194" s="50" t="s">
        <v>75</v>
      </c>
    </row>
    <row r="195" spans="1:10" ht="18.75" customHeight="1">
      <c r="A195" s="179" t="str">
        <f>ПТО!F13</f>
        <v xml:space="preserve">  -  техническое освидетельствование лифта</v>
      </c>
      <c r="B195" s="179"/>
      <c r="C195" s="179"/>
      <c r="D195" s="179"/>
      <c r="E195" s="179"/>
      <c r="F195" s="179"/>
      <c r="G195" s="179"/>
      <c r="H195" s="49">
        <f>ПТО!G13</f>
        <v>8100</v>
      </c>
      <c r="I195" s="50" t="s">
        <v>75</v>
      </c>
    </row>
    <row r="196" spans="1:10" ht="18.75" customHeight="1">
      <c r="A196" s="179" t="str">
        <f>ПТО!F14</f>
        <v xml:space="preserve">  -  техническое обслуживание охранной сигнализации</v>
      </c>
      <c r="B196" s="179"/>
      <c r="C196" s="179"/>
      <c r="D196" s="179"/>
      <c r="E196" s="179"/>
      <c r="F196" s="179"/>
      <c r="G196" s="179"/>
      <c r="H196" s="49">
        <f>ПТО!G14</f>
        <v>4000</v>
      </c>
      <c r="I196" s="50" t="s">
        <v>75</v>
      </c>
    </row>
    <row r="197" spans="1:10" ht="18.75" customHeight="1">
      <c r="A197" s="179" t="str">
        <f>ПТО!F15</f>
        <v xml:space="preserve">  -  ремонт подъезда</v>
      </c>
      <c r="B197" s="179"/>
      <c r="C197" s="179"/>
      <c r="D197" s="179"/>
      <c r="E197" s="179"/>
      <c r="F197" s="179"/>
      <c r="G197" s="179"/>
      <c r="H197" s="49">
        <f>ПТО!G15</f>
        <v>400000</v>
      </c>
      <c r="I197" s="50" t="s">
        <v>75</v>
      </c>
    </row>
    <row r="198" spans="1:10" ht="18.75" customHeight="1">
      <c r="A198" s="179" t="str">
        <f>ПТО!F16</f>
        <v xml:space="preserve">  - установка газонного ограждения</v>
      </c>
      <c r="B198" s="179"/>
      <c r="C198" s="179"/>
      <c r="D198" s="179"/>
      <c r="E198" s="179"/>
      <c r="F198" s="179"/>
      <c r="G198" s="179"/>
      <c r="H198" s="49">
        <f>ПТО!G16</f>
        <v>70000</v>
      </c>
      <c r="I198" s="52" t="s">
        <v>75</v>
      </c>
    </row>
    <row r="199" spans="1:10" ht="18.75" hidden="1" customHeight="1">
      <c r="A199" s="179">
        <f>ПТО!F17</f>
        <v>0</v>
      </c>
      <c r="B199" s="179"/>
      <c r="C199" s="179"/>
      <c r="D199" s="179"/>
      <c r="E199" s="179"/>
      <c r="F199" s="179"/>
      <c r="G199" s="179"/>
      <c r="H199" s="49">
        <f>ПТО!G17</f>
        <v>0</v>
      </c>
      <c r="I199" s="50" t="s">
        <v>75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49">
        <f>ПТО!G18</f>
        <v>0</v>
      </c>
      <c r="I200" s="50" t="s">
        <v>75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49">
        <f>ПТО!G19</f>
        <v>0</v>
      </c>
      <c r="I201" s="50" t="s">
        <v>75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49">
        <f>ПТО!G20</f>
        <v>0</v>
      </c>
      <c r="I202" s="50" t="s">
        <v>75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49">
        <f>ПТО!G21</f>
        <v>0</v>
      </c>
      <c r="I203" s="50" t="s">
        <v>75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49">
        <f>ПТО!G22</f>
        <v>0</v>
      </c>
      <c r="I204" s="50" t="s">
        <v>75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49">
        <f>ПТО!G23</f>
        <v>0</v>
      </c>
      <c r="I205" s="50" t="s">
        <v>75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49">
        <f>ПТО!G24</f>
        <v>0</v>
      </c>
      <c r="I206" s="50" t="s">
        <v>75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49">
        <f>ПТО!G25</f>
        <v>0</v>
      </c>
      <c r="I207" s="50" t="s">
        <v>75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49">
        <f>ПТО!G26</f>
        <v>0</v>
      </c>
      <c r="I208" s="50" t="s">
        <v>75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49">
        <f>ПТО!G27</f>
        <v>0</v>
      </c>
      <c r="I209" s="50" t="s">
        <v>75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49">
        <f>ПТО!G28</f>
        <v>0</v>
      </c>
      <c r="I210" s="50" t="s">
        <v>75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49">
        <f>ПТО!G29</f>
        <v>0</v>
      </c>
      <c r="I211" s="50" t="s">
        <v>75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49">
        <f>ПТО!G30</f>
        <v>0</v>
      </c>
      <c r="I212" s="50" t="s">
        <v>75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483300</v>
      </c>
      <c r="I214" s="56" t="s">
        <v>78</v>
      </c>
    </row>
  </sheetData>
  <sheetProtection algorithmName="SHA-512" hashValue="5NevO6NQwsTUBOGlOP5W75815qWS5oGuNkXbF6u80jxRDRPLsRk81lazng9y+SFc7zK/xrI0qczdCHjiqvkS2g==" saltValue="34hN6v8XtUQr1cKzbFX76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" sqref="D1: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-266680.34</f>
        <v>-266680.34000000003</v>
      </c>
    </row>
    <row r="2" spans="1:12" ht="18.75" customHeight="1">
      <c r="A2" s="120" t="s">
        <v>73</v>
      </c>
      <c r="B2" s="119" t="s">
        <v>179</v>
      </c>
      <c r="C2" s="119">
        <v>1</v>
      </c>
      <c r="D2" s="118">
        <v>8100</v>
      </c>
      <c r="E2" s="144" t="s">
        <v>205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178</v>
      </c>
      <c r="B3" s="119" t="s">
        <v>180</v>
      </c>
      <c r="C3" s="119">
        <v>12</v>
      </c>
      <c r="D3" s="118">
        <v>3999.96</v>
      </c>
      <c r="E3" s="144" t="s">
        <v>206</v>
      </c>
      <c r="F3" s="30"/>
      <c r="G3" s="30"/>
      <c r="L3" s="33" t="str">
        <f t="shared" si="0"/>
        <v>ТР</v>
      </c>
    </row>
    <row r="4" spans="1:12" ht="18.75" customHeight="1">
      <c r="A4" s="44" t="s">
        <v>186</v>
      </c>
      <c r="B4" s="124" t="s">
        <v>185</v>
      </c>
      <c r="C4" s="125">
        <v>1</v>
      </c>
      <c r="D4" s="43">
        <v>4127.0600000000004</v>
      </c>
      <c r="E4" s="44" t="s">
        <v>192</v>
      </c>
      <c r="F4" s="30"/>
      <c r="G4" s="30"/>
      <c r="L4" s="33" t="str">
        <f t="shared" si="0"/>
        <v>ТР</v>
      </c>
    </row>
    <row r="5" spans="1:12" ht="18.75" customHeight="1">
      <c r="A5" s="131" t="s">
        <v>193</v>
      </c>
      <c r="B5" s="132" t="s">
        <v>185</v>
      </c>
      <c r="C5" s="125">
        <v>1</v>
      </c>
      <c r="D5" s="46">
        <v>216</v>
      </c>
      <c r="E5" s="133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195</v>
      </c>
      <c r="B6" s="127" t="s">
        <v>185</v>
      </c>
      <c r="C6" s="128">
        <v>1</v>
      </c>
      <c r="D6" s="129">
        <v>500</v>
      </c>
      <c r="E6" s="130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34" t="s">
        <v>198</v>
      </c>
      <c r="B7" s="135" t="s">
        <v>185</v>
      </c>
      <c r="C7" s="128">
        <v>1</v>
      </c>
      <c r="D7" s="151">
        <v>85047</v>
      </c>
      <c r="E7" s="133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36" t="s">
        <v>199</v>
      </c>
      <c r="B8" s="137" t="s">
        <v>185</v>
      </c>
      <c r="C8" s="138">
        <v>1</v>
      </c>
      <c r="D8" s="139">
        <v>5867</v>
      </c>
      <c r="E8" s="133" t="s">
        <v>201</v>
      </c>
      <c r="F8" s="45"/>
      <c r="G8" s="45"/>
      <c r="K8" s="43"/>
      <c r="L8" s="33" t="str">
        <f t="shared" si="0"/>
        <v>ТР</v>
      </c>
    </row>
    <row r="9" spans="1:12">
      <c r="A9" s="140" t="s">
        <v>202</v>
      </c>
      <c r="B9" s="141" t="s">
        <v>185</v>
      </c>
      <c r="C9" s="142">
        <v>1</v>
      </c>
      <c r="D9" s="143">
        <v>542.4</v>
      </c>
      <c r="E9" s="144" t="s">
        <v>203</v>
      </c>
      <c r="F9" s="44"/>
      <c r="G9" s="44"/>
      <c r="K9" s="43"/>
      <c r="L9" s="33" t="str">
        <f t="shared" si="0"/>
        <v>ТР</v>
      </c>
    </row>
    <row r="10" spans="1:12">
      <c r="A10" s="145" t="s">
        <v>194</v>
      </c>
      <c r="B10" s="146" t="s">
        <v>185</v>
      </c>
      <c r="C10" s="125">
        <v>1</v>
      </c>
      <c r="D10" s="43">
        <v>9598</v>
      </c>
      <c r="E10" s="133" t="s">
        <v>204</v>
      </c>
      <c r="L10" s="33" t="str">
        <f t="shared" si="0"/>
        <v>ТР</v>
      </c>
    </row>
    <row r="11" spans="1:12" ht="94.5">
      <c r="A11" s="30"/>
      <c r="F11" s="111" t="s">
        <v>187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182</v>
      </c>
      <c r="G14" s="114">
        <v>4000</v>
      </c>
      <c r="L14" s="33">
        <f t="shared" si="0"/>
        <v>0</v>
      </c>
    </row>
    <row r="15" spans="1:12" ht="15.75">
      <c r="A15" s="30"/>
      <c r="F15" s="122" t="s">
        <v>183</v>
      </c>
      <c r="G15" s="123">
        <v>400000</v>
      </c>
      <c r="L15" s="33">
        <f t="shared" si="0"/>
        <v>0</v>
      </c>
    </row>
    <row r="16" spans="1:12" ht="15.75">
      <c r="A16" s="30"/>
      <c r="F16" s="122" t="s">
        <v>215</v>
      </c>
      <c r="G16" s="123">
        <v>70000</v>
      </c>
      <c r="L16" s="33">
        <f t="shared" si="0"/>
        <v>0</v>
      </c>
    </row>
    <row r="17" spans="1:12" ht="15.75">
      <c r="A17" s="30"/>
      <c r="F17" s="122"/>
      <c r="G17" s="123"/>
      <c r="L17" s="33">
        <f t="shared" si="0"/>
        <v>0</v>
      </c>
    </row>
    <row r="18" spans="1:12" ht="15.75">
      <c r="A18" s="30"/>
      <c r="F18" s="122"/>
      <c r="G18" s="12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259989.72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259989.72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68081.64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68081.64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76763.28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76763.28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54830.879999999997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54830.879999999997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21932.400000000001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21932.400000000001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112403.28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112403.28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207</v>
      </c>
      <c r="B47" s="147">
        <f>(E47*G53*F55*6+E47*G53*G55*6)+(F47*G59*F61*6+F47*G59*G61*6)+(F47*G63*F65*6+F47*G63*G65*6)</f>
        <v>63372.811049999989</v>
      </c>
      <c r="C47" s="148" t="s">
        <v>68</v>
      </c>
      <c r="D47" s="48">
        <v>12</v>
      </c>
      <c r="E47" s="147">
        <v>1011.6</v>
      </c>
      <c r="F47" s="147">
        <v>481.9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63372.811049999989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49"/>
      <c r="C48" s="148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0" t="s">
        <v>208</v>
      </c>
      <c r="F52" s="150" t="s">
        <v>209</v>
      </c>
      <c r="G52" s="150" t="s">
        <v>210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0">
        <v>35.896999999999998</v>
      </c>
      <c r="F53" s="147">
        <v>3799.43</v>
      </c>
      <c r="G53" s="150">
        <v>3.48</v>
      </c>
      <c r="H53" s="150">
        <f>G53*E47/F53</f>
        <v>0.92655161432109556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0"/>
      <c r="F54" s="150" t="s">
        <v>211</v>
      </c>
      <c r="G54" s="150" t="s">
        <v>212</v>
      </c>
      <c r="H54" s="150">
        <f>H53*G56</f>
        <v>31.317444564053027</v>
      </c>
    </row>
    <row r="55" spans="5:16">
      <c r="E55" s="150"/>
      <c r="F55" s="150">
        <v>1.17</v>
      </c>
      <c r="G55" s="150">
        <v>1.23</v>
      </c>
      <c r="H55" s="150"/>
    </row>
    <row r="56" spans="5:16">
      <c r="E56" s="150"/>
      <c r="F56" s="150"/>
      <c r="G56" s="150">
        <v>33.799999999999997</v>
      </c>
      <c r="H56" s="150"/>
    </row>
    <row r="57" spans="5:16">
      <c r="E57" s="150"/>
      <c r="F57" s="150"/>
      <c r="G57" s="150"/>
      <c r="H57" s="150"/>
    </row>
    <row r="58" spans="5:16">
      <c r="E58" s="150" t="s">
        <v>213</v>
      </c>
      <c r="F58" s="150"/>
      <c r="G58" s="150"/>
      <c r="H58" s="150"/>
    </row>
    <row r="59" spans="5:16">
      <c r="E59" s="150">
        <v>0.59599999999999997</v>
      </c>
      <c r="F59" s="147">
        <v>3799.43</v>
      </c>
      <c r="G59" s="150">
        <v>7.4999999999999997E-2</v>
      </c>
      <c r="H59" s="150">
        <f>G59*F47</f>
        <v>36.142499999999998</v>
      </c>
    </row>
    <row r="60" spans="5:16">
      <c r="E60" s="150"/>
      <c r="F60" s="150" t="s">
        <v>211</v>
      </c>
      <c r="G60" s="150" t="s">
        <v>212</v>
      </c>
      <c r="H60" s="150">
        <f>H59/F59</f>
        <v>9.5126111021916447E-3</v>
      </c>
    </row>
    <row r="61" spans="5:16">
      <c r="E61" s="150"/>
      <c r="F61" s="150">
        <v>12.94</v>
      </c>
      <c r="G61" s="150">
        <v>13.45</v>
      </c>
      <c r="H61" s="150">
        <f>H60*G56</f>
        <v>0.32152625525407758</v>
      </c>
    </row>
    <row r="62" spans="5:16">
      <c r="E62" s="150" t="s">
        <v>214</v>
      </c>
      <c r="F62" s="150"/>
      <c r="G62" s="150"/>
      <c r="H62" s="150"/>
    </row>
    <row r="63" spans="5:16">
      <c r="E63" s="150">
        <v>0.59599999999999997</v>
      </c>
      <c r="F63" s="147">
        <v>3799.43</v>
      </c>
      <c r="G63" s="150">
        <v>7.4999999999999997E-2</v>
      </c>
      <c r="H63" s="150">
        <f>G63*F47</f>
        <v>36.142499999999998</v>
      </c>
    </row>
    <row r="64" spans="5:16">
      <c r="E64" s="150"/>
      <c r="F64" s="150" t="s">
        <v>211</v>
      </c>
      <c r="G64" s="150" t="s">
        <v>212</v>
      </c>
      <c r="H64" s="150">
        <f>H63/F63</f>
        <v>9.5126111021916447E-3</v>
      </c>
    </row>
    <row r="65" spans="4:13" ht="18.75" customHeight="1">
      <c r="E65" s="150"/>
      <c r="F65" s="150">
        <v>15.73</v>
      </c>
      <c r="G65" s="150">
        <v>16.350000000000001</v>
      </c>
      <c r="H65" s="150">
        <f>H64*G56</f>
        <v>0.32152625525407758</v>
      </c>
      <c r="I65" s="99"/>
      <c r="J65" s="99"/>
      <c r="K65" s="99"/>
      <c r="L65" s="99"/>
      <c r="M65" s="99"/>
    </row>
    <row r="66" spans="4:13" ht="18.75" customHeight="1">
      <c r="D66" s="99"/>
      <c r="E66" s="99"/>
      <c r="F66" s="99"/>
      <c r="G66" s="99"/>
      <c r="H66" s="99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3799.43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401249.39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1031291.19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614769.65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F1*5*12</f>
        <v>227965.8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188555.74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1063641.57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1063641.57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1063641.57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368899.01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106</v>
      </c>
      <c r="B27" s="75" t="s">
        <v>4</v>
      </c>
      <c r="C27" s="86">
        <v>325192.18</v>
      </c>
      <c r="D27" s="81" t="s">
        <v>60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109</v>
      </c>
      <c r="B30" s="75" t="s">
        <v>18</v>
      </c>
      <c r="C30" s="86">
        <v>273646.21999999997</v>
      </c>
      <c r="D30" s="81" t="s">
        <v>66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51772.36</v>
      </c>
      <c r="F37" s="94" t="s">
        <v>168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43143.63</v>
      </c>
      <c r="D38" s="94" t="s">
        <v>166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51466.43</v>
      </c>
      <c r="D39" s="94" t="s">
        <v>167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305.93000000000029</v>
      </c>
      <c r="D40" s="80" t="s">
        <v>59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51772.36</v>
      </c>
      <c r="D41" s="80" t="s">
        <v>59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51772.36</v>
      </c>
      <c r="D42" s="80" t="s">
        <v>59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88584.38</v>
      </c>
      <c r="F45" s="94" t="s">
        <v>168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6710.94</v>
      </c>
      <c r="D46" s="94" t="s">
        <v>169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94669.67</v>
      </c>
      <c r="D47" s="94" t="s">
        <v>167</v>
      </c>
      <c r="E47" s="68"/>
      <c r="G47" s="67"/>
      <c r="H47" s="67"/>
      <c r="L47" s="63"/>
      <c r="M47" s="181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1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88584.38</v>
      </c>
      <c r="D49" s="80" t="s">
        <v>59</v>
      </c>
      <c r="E49" s="68"/>
      <c r="G49" s="67"/>
      <c r="H49" s="67"/>
      <c r="L49" s="63"/>
      <c r="M49" s="181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88584.38</v>
      </c>
      <c r="D50" s="80" t="s">
        <v>59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171205.44</v>
      </c>
      <c r="F53" s="94" t="s">
        <v>168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10673.66</v>
      </c>
      <c r="D54" s="94" t="s">
        <v>169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179266.38</v>
      </c>
      <c r="D55" s="94" t="s">
        <v>167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171205.44</v>
      </c>
      <c r="D57" s="80" t="s">
        <v>59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171205.44</v>
      </c>
      <c r="D58" s="80" t="s">
        <v>59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7716.81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43283.1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3279.02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73271.95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43283.1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43283.1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1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194354.11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2022-03-28T02:11:47Z</dcterms:modified>
</cp:coreProperties>
</file>