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F63" i="2"/>
  <c r="H59" i="2"/>
  <c r="H60" i="2" s="1"/>
  <c r="H61" i="2" s="1"/>
  <c r="F59" i="2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09" i="1" l="1"/>
  <c r="F110" i="1"/>
  <c r="A113" i="1"/>
  <c r="A117" i="1"/>
  <c r="A119" i="1"/>
  <c r="A122" i="1"/>
  <c r="A118" i="1"/>
  <c r="A123" i="1"/>
  <c r="F134" i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<sst xmlns="http://schemas.openxmlformats.org/spreadsheetml/2006/main" count="566" uniqueCount="210">
  <si>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</si>
  <si>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</si>
  <si>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</si>
  <si>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</si>
  <si>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</si>
  <si>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</si>
  <si>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</si>
  <si>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</si>
  <si>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</si>
  <si>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</si>
  <si>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</si>
  <si>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</si>
  <si>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</si>
  <si>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</si>
  <si>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</si>
  <si>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</si>
  <si>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</si>
  <si>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</si>
  <si>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</si>
  <si>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</si>
  <si>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</si>
  <si>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</si>
  <si>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</si>
  <si>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</si>
  <si>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</si>
  <si>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</si>
  <si>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</si>
  <si>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</si>
  <si>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</si>
  <si>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</si>
  <si>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</si>
  <si>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</si>
  <si>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</si>
  <si>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</si>
  <si>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</si>
  <si>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</si>
  <si>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</si>
  <si>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</si>
  <si>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</si>
  <si>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</si>
  <si>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</si>
  <si>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</si>
  <si>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</si>
  <si>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</si>
  <si>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</si>
  <si>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</si>
  <si>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</si>
  <si>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</si>
  <si>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</si>
  <si>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</si>
  <si>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</si>
  <si>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</si>
  <si>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</si>
  <si>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</si>
  <si>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</si>
  <si>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</si>
  <si>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</si>
  <si>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</si>
  <si>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</si>
  <si>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</si>
  <si>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</si>
  <si>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</si>
  <si>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</si>
  <si>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</si>
  <si>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</si>
  <si>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</si>
  <si>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</si>
  <si>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</si>
  <si>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</si>
  <si>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</si>
  <si>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</si>
  <si>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</si>
  <si>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</si>
  <si>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</si>
  <si>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</si>
  <si>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</si>
  <si>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</si>
  <si>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</si>
  <si>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</si>
  <si>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</si>
  <si>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</si>
  <si>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</si>
  <si>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</si>
  <si>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</si>
  <si>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</si>
  <si>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</si>
  <si>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</si>
  <si>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</si>
  <si>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</si>
  <si>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</si>
  <si>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</si>
  <si>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</si>
  <si>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</si>
  <si>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</si>
  <si>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</si>
  <si>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</si>
  <si>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</si>
  <si>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</si>
  <si>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</si>
  <si>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</si>
  <si>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</si>
  <si>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</si>
  <si>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</si>
  <si>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</si>
  <si>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</si>
  <si>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</si>
  <si>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</si>
  <si>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</si>
  <si>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</si>
  <si>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</si>
  <si>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</si>
  <si>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</si>
  <si>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</si>
  <si>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</si>
  <si>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</si>
  <si>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</si>
  <si>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</si>
  <si>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</si>
  <si>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</si>
  <si>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</si>
  <si>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</si>
  <si>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</si>
  <si>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</si>
  <si>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</si>
  <si>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</si>
  <si>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</si>
  <si>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</si>
  <si>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</si>
  <si>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</si>
  <si>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</si>
  <si>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</si>
  <si>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</si>
  <si>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</si>
  <si>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</si>
  <si>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</si>
  <si>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</si>
  <si>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</si>
  <si>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</si>
  <si>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</si>
  <si>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</si>
  <si>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</si>
  <si>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</si>
  <si>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</si>
  <si>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</si>
  <si>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</si>
  <si>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</si>
  <si>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</si>
  <si>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</si>
  <si>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</si>
  <si>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</si>
  <si>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</si>
  <si>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</si>
  <si>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</si>
  <si>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</si>
  <si>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</si>
  <si>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</si>
  <si>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</si>
  <si>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</si>
  <si>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</si>
  <si>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</si>
  <si>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</si>
  <si>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</si>
  <si>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</si>
  <si>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</si>
  <si>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</si>
  <si>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</si>
  <si>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</si>
  <si>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</si>
  <si>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</si>
  <si>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</si>
  <si>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</si>
  <si>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</si>
  <si>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</si>
  <si>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108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</si>
  <si>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</si>
  <si>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</si>
  <si>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</si>
  <si>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108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</si>
  <si>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</si>
  <si>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</si>
  <si>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</si>
  <si>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</si>
  <si>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</si>
  <si>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</si>
  <si>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Приобретение и установка светильника в подъезде (тамбур).</t>
  </si>
  <si>
    <t>Монтаж системы видеонаблюдения.</t>
  </si>
  <si>
    <t>АВР 2/21 от 16.02.2021, счет №96 от 15.12.2020</t>
  </si>
  <si>
    <t>АВР 1/21 от 25.01.2021, Решение</t>
  </si>
  <si>
    <t>Приобретение и установка дополнительного циркуляционного насоса и эл. кабеля в подвал.</t>
  </si>
  <si>
    <t>АВР 3/21 от 21.04.2021, Решение</t>
  </si>
  <si>
    <t>Установка фотоэлемента над входной группой.</t>
  </si>
  <si>
    <t>АВР 4/21 от 03.06.2021, Решение</t>
  </si>
  <si>
    <t>Аварийный ремонт теплообменника ГВС (замена уплотнительных прокладок).</t>
  </si>
  <si>
    <t>АВР 5/21 от 26.08.2021</t>
  </si>
  <si>
    <t>Приобретение и установка лучевых светильников (3 этаж, 2 шт.).</t>
  </si>
  <si>
    <t>Приобретение и установка информационного стенда на детскую площадку.</t>
  </si>
  <si>
    <t>АВР 6/21 от 29.11.2021, Решение</t>
  </si>
  <si>
    <t>АВР 7/21 от 29.11.2021,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</si>
  <si>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</si>
  <si>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</si>
  <si>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</si>
  <si>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</si>
  <si>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</si>
  <si>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</si>
  <si>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</si>
  <si>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</si>
  <si>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,</t>
  </si>
  <si>
    <t>АВР 8/21 от 30.12.2021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</si>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</sst>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</cellStyleXfs>
  <cellXfs count="18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14" fillId="0" borderId="0" xfId="5" applyNumberFormat="1" applyBorder="1" applyAlignment="1"/>
    <xf numFmtId="0" fontId="28" fillId="0" borderId="0" xfId="5" applyFont="1" applyFill="1" applyBorder="1" applyAlignment="1"/>
    <xf numFmtId="0" fontId="28" fillId="0" borderId="0" xfId="5" applyFont="1" applyFill="1" applyBorder="1" applyAlignment="1">
      <alignment horizontal="center"/>
    </xf>
    <xf numFmtId="0" fontId="14" fillId="0" borderId="0" xfId="5" applyFill="1" applyBorder="1" applyAlignment="1">
      <alignment horizontal="center" vertical="center"/>
    </xf>
    <xf numFmtId="4" fontId="14" fillId="0" borderId="0" xfId="5" applyNumberFormat="1" applyFill="1" applyBorder="1" applyAlignment="1"/>
    <xf numFmtId="4" fontId="0" fillId="0" borderId="0" xfId="0" applyNumberFormat="1" applyFill="1" applyBorder="1" applyAlignment="1"/>
    <xf numFmtId="0" fontId="0" fillId="0" borderId="0" xfId="0" applyFill="1"/>
    <xf numFmtId="4" fontId="38" fillId="0" borderId="0" xfId="0" applyNumberFormat="1" applyFont="1"/>
    <xf numFmtId="0" fontId="21" fillId="0" borderId="0" xfId="0" applyFont="1" applyBorder="1" applyAlignment="1"/>
    <xf numFmtId="4" fontId="21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0" fillId="0" borderId="0" xfId="4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4" fontId="28" fillId="0" borderId="0" xfId="5" applyNumberFormat="1" applyFont="1" applyFill="1" applyBorder="1" applyAlignment="1"/>
    <xf numFmtId="0" fontId="7" fillId="0" borderId="0" xfId="5" applyFont="1" applyBorder="1"/>
    <xf numFmtId="0" fontId="5" fillId="0" borderId="0" xfId="26" applyFont="1" applyFill="1" applyBorder="1" applyAlignment="1"/>
    <xf numFmtId="4" fontId="13" fillId="0" borderId="0" xfId="21" applyNumberFormat="1" applyFill="1" applyBorder="1" applyAlignment="1"/>
    <xf numFmtId="0" fontId="5" fillId="0" borderId="0" xfId="5" applyFont="1" applyFill="1" applyBorder="1"/>
    <xf numFmtId="0" fontId="6" fillId="0" borderId="0" xfId="46" applyFont="1" applyFill="1" applyBorder="1" applyAlignment="1"/>
    <xf numFmtId="0" fontId="6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4" fontId="0" fillId="0" borderId="0" xfId="0" applyNumberFormat="1" applyBorder="1" applyAlignment="1">
      <alignment horizontal="center"/>
    </xf>
    <xf numFmtId="4" fontId="30" fillId="3" borderId="0" xfId="4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49">
    <cellStyle name="Обычный" xfId="0" builtinId="0"/>
    <cellStyle name="Обычный 2" xfId="1"/>
    <cellStyle name="Обычный 2 2" xfId="3"/>
    <cellStyle name="Обычный 2 3" xfId="14"/>
    <cellStyle name="Обычный 2 3 2" xfId="29"/>
    <cellStyle name="Обычный 2 4" xfId="19"/>
    <cellStyle name="Обычный 2 5" xfId="25"/>
    <cellStyle name="Обычный 2 5 2" xfId="48"/>
    <cellStyle name="Обычный 2 6" xfId="35"/>
    <cellStyle name="Обычный 2 7" xfId="9"/>
    <cellStyle name="Обычный 2 8" xfId="42"/>
    <cellStyle name="Обычный 3" xfId="2"/>
    <cellStyle name="Обычный 3 2" xfId="8"/>
    <cellStyle name="Обычный 3 3" xfId="7"/>
    <cellStyle name="Обычный 3 4" xfId="15"/>
    <cellStyle name="Обычный 3 4 2" xfId="24"/>
    <cellStyle name="Обычный 3 5" xfId="20"/>
    <cellStyle name="Обычный 3 5 2" xfId="30"/>
    <cellStyle name="Обычный 3 6" xfId="26"/>
    <cellStyle name="Обычный 3 7" xfId="36"/>
    <cellStyle name="Обычный 3 8" xfId="10"/>
    <cellStyle name="Обычный 3 9" xfId="43"/>
    <cellStyle name="Обычный 4" xfId="4"/>
    <cellStyle name="Обычный 4 2" xfId="16"/>
    <cellStyle name="Обычный 4 2 2" xfId="31"/>
    <cellStyle name="Обычный 4 2 3" xfId="41"/>
    <cellStyle name="Обычный 4 2 4" xfId="47"/>
    <cellStyle name="Обычный 4 3" xfId="21"/>
    <cellStyle name="Обычный 4 4" xfId="27"/>
    <cellStyle name="Обычный 4 5" xfId="37"/>
    <cellStyle name="Обычный 4 6" xfId="11"/>
    <cellStyle name="Обычный 4 7" xfId="44"/>
    <cellStyle name="Обычный 5" xfId="5"/>
    <cellStyle name="Обычный 5 2" xfId="17"/>
    <cellStyle name="Обычный 5 2 2" xfId="32"/>
    <cellStyle name="Обычный 5 3" xfId="22"/>
    <cellStyle name="Обычный 5 4" xfId="34"/>
    <cellStyle name="Обычный 5 4 2" xfId="40"/>
    <cellStyle name="Обычный 5 4 3" xfId="46"/>
    <cellStyle name="Обычный 5 5" xfId="28"/>
    <cellStyle name="Обычный 5 6" xfId="38"/>
    <cellStyle name="Обычный 5 7" xfId="12"/>
    <cellStyle name="Обычный 5 8" xfId="45"/>
    <cellStyle name="Обычный 6" xfId="39"/>
    <cellStyle name="Финансовый 2" xfId="6"/>
    <cellStyle name="Финансовый 2 2" xfId="18"/>
    <cellStyle name="Финансовый 2 3" xfId="23"/>
    <cellStyle name="Финансовый 2 4" xfId="33"/>
    <cellStyle name="Финансовый 2 5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42" sqref="K14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4" t="s">
        <v>173</v>
      </c>
      <c r="B2" s="174"/>
      <c r="C2" s="174"/>
      <c r="D2" s="174"/>
      <c r="E2" s="174"/>
      <c r="F2" s="174"/>
      <c r="G2" s="174"/>
      <c r="H2" s="174"/>
      <c r="I2" s="174"/>
      <c r="J2" s="17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10"/>
      <c r="L8" s="175"/>
      <c r="M8" s="110"/>
      <c r="N8" s="110"/>
      <c r="O8" s="71" t="s">
        <v>80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10"/>
      <c r="L9" s="175"/>
      <c r="M9" s="110"/>
      <c r="N9" s="110"/>
      <c r="O9" s="71" t="s">
        <v>81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84130.39</v>
      </c>
      <c r="K10" s="110"/>
      <c r="L10" s="175"/>
      <c r="M10" s="110"/>
      <c r="N10" s="110"/>
      <c r="O10" s="71" t="s">
        <v>82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254334.538</v>
      </c>
      <c r="K11" s="110"/>
      <c r="L11" s="175"/>
      <c r="M11" s="110"/>
      <c r="N11" s="110"/>
      <c r="O11" s="71" t="s">
        <v>83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111786.77</v>
      </c>
      <c r="K12" s="110"/>
      <c r="L12" s="175"/>
      <c r="M12" s="110"/>
      <c r="N12" s="110"/>
      <c r="O12" s="71" t="s">
        <v>84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74138.747999999992</v>
      </c>
      <c r="K13" s="110"/>
      <c r="L13" s="175"/>
      <c r="M13" s="110"/>
      <c r="N13" s="110"/>
      <c r="O13" s="71" t="s">
        <v>85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68409.02</v>
      </c>
      <c r="K14" s="110"/>
      <c r="L14" s="175"/>
      <c r="M14" s="110"/>
      <c r="N14" s="110"/>
      <c r="O14" s="71" t="s">
        <v>86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242889.73</v>
      </c>
      <c r="K15" s="110"/>
      <c r="L15" s="175"/>
      <c r="M15" s="110"/>
      <c r="N15" s="110"/>
      <c r="O15" s="71" t="s">
        <v>87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242889.73</v>
      </c>
      <c r="K16" s="110"/>
      <c r="L16" s="175"/>
      <c r="M16" s="110"/>
      <c r="N16" s="110"/>
      <c r="O16" s="71" t="s">
        <v>88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10"/>
      <c r="L17" s="175"/>
      <c r="M17" s="110"/>
      <c r="N17" s="110"/>
      <c r="O17" s="71" t="s">
        <v>89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10"/>
      <c r="L18" s="175"/>
      <c r="M18" s="110"/>
      <c r="N18" s="110"/>
      <c r="O18" s="71" t="s">
        <v>90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10"/>
      <c r="L19" s="175"/>
      <c r="M19" s="110"/>
      <c r="N19" s="110"/>
      <c r="O19" s="71" t="s">
        <v>91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10"/>
      <c r="L20" s="175"/>
      <c r="M20" s="110"/>
      <c r="N20" s="110"/>
      <c r="O20" s="71" t="s">
        <v>92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242889.73</v>
      </c>
      <c r="K21" s="110"/>
      <c r="L21" s="175"/>
      <c r="M21" s="110"/>
      <c r="N21" s="110"/>
      <c r="O21" s="71" t="s">
        <v>93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10"/>
      <c r="L22" s="175"/>
      <c r="M22" s="110"/>
      <c r="N22" s="110"/>
      <c r="O22" s="71" t="s">
        <v>94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10"/>
      <c r="L23" s="175"/>
      <c r="M23" s="110"/>
      <c r="N23" s="110"/>
      <c r="O23" s="71" t="s">
        <v>95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95575.198000000004</v>
      </c>
      <c r="K24" s="110"/>
      <c r="L24" s="175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0"/>
      <c r="L27" s="17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29111.396799999995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10"/>
      <c r="L28" s="17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2">
        <f>ПТО!A40</f>
        <v>0</v>
      </c>
      <c r="B29" s="152"/>
      <c r="C29" s="152"/>
      <c r="D29" s="152"/>
      <c r="E29" s="152"/>
      <c r="F29" s="153" t="e">
        <f>VLOOKUP(A29,ПТО!$A$39:$D$53,2,FALSE)</f>
        <v>#N/A</v>
      </c>
      <c r="G29" s="153"/>
      <c r="H29" s="42" t="e">
        <f>VLOOKUP(A29,ПТО!$A$39:$D$53,3,FALSE)</f>
        <v>#N/A</v>
      </c>
      <c r="I29" s="154" t="e">
        <f>VLOOKUP(A29,ПТО!$A$39:$D$53,4,FALSE)</f>
        <v>#N/A</v>
      </c>
      <c r="J29" s="154"/>
      <c r="K29" s="110"/>
      <c r="L29" s="176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29111.4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10"/>
      <c r="L30" s="176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16324.08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10"/>
      <c r="L31" s="17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10"/>
      <c r="L32" s="176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6801.72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10"/>
      <c r="L33" s="17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28703.279999999999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10"/>
      <c r="L34" s="17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2">
        <f>ПТО!A46</f>
        <v>0</v>
      </c>
      <c r="B35" s="152"/>
      <c r="C35" s="152"/>
      <c r="D35" s="152"/>
      <c r="E35" s="152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54" t="e">
        <f>VLOOKUP(A35,ПТО!$A$39:$D$53,4,FALSE)</f>
        <v>#N/A</v>
      </c>
      <c r="J35" s="154"/>
      <c r="K35" s="110"/>
      <c r="L35" s="176"/>
      <c r="M35" s="117"/>
      <c r="N35" s="110"/>
      <c r="O35" s="23">
        <f t="shared" si="1"/>
        <v>0</v>
      </c>
      <c r="R35" s="1" t="s">
        <v>71</v>
      </c>
    </row>
    <row r="36" spans="1:18" ht="51" customHeight="1" outlineLevel="1">
      <c r="A36" s="152" t="str">
        <f>ПТО!A47</f>
        <v>Коммунальные ресурсы на содержание общего имущества</v>
      </c>
      <c r="B36" s="152"/>
      <c r="C36" s="152"/>
      <c r="D36" s="152"/>
      <c r="E36" s="152"/>
      <c r="F36" s="153">
        <f>VLOOKUP(A36,ПТО!$A$39:$D$53,2,FALSE)</f>
        <v>25042.980599999995</v>
      </c>
      <c r="G36" s="153"/>
      <c r="H36" s="42" t="str">
        <f>VLOOKUP(A36,ПТО!$A$39:$D$53,3,FALSE)</f>
        <v>Ежемесячно</v>
      </c>
      <c r="I36" s="154">
        <f>VLOOKUP(A36,ПТО!$A$39:$D$53,4,FALSE)</f>
        <v>12</v>
      </c>
      <c r="J36" s="154"/>
      <c r="K36" s="110"/>
      <c r="L36" s="176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10"/>
      <c r="L37" s="176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10"/>
      <c r="L38" s="176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10"/>
      <c r="L39" s="176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10"/>
      <c r="L40" s="176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10"/>
      <c r="L41" s="176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10"/>
      <c r="L42" s="176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3">
        <f>VLOOKUP(A43,ПТО!$A$2:$D$31,4,FALSE)</f>
        <v>5790</v>
      </c>
      <c r="G43" s="153"/>
      <c r="H43" s="19" t="str">
        <f>VLOOKUP(A43,ПТО!$A$2:$D$31,2,FALSE)</f>
        <v>ежемесячно</v>
      </c>
      <c r="I43" s="154">
        <f>VLOOKUP(A43,ПТО!$A$2:$D$31,3,FALSE)</f>
        <v>12</v>
      </c>
      <c r="J43" s="154"/>
      <c r="K43" s="110"/>
      <c r="L43" s="176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Приобретение и установка светильника в подъезде (тамбур).</v>
      </c>
      <c r="B44" s="152"/>
      <c r="C44" s="152"/>
      <c r="D44" s="152"/>
      <c r="E44" s="152"/>
      <c r="F44" s="153">
        <f>VLOOKUP(A44,ПТО!$A$2:$D$31,4,FALSE)</f>
        <v>3415.86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10"/>
      <c r="L44" s="176"/>
      <c r="M44" s="117"/>
      <c r="N44" s="110"/>
      <c r="O44" s="23" t="str">
        <f t="shared" si="1"/>
        <v>Приобретение и установка светильника в подъезде (тамбур).</v>
      </c>
      <c r="R44" s="22" t="s">
        <v>72</v>
      </c>
    </row>
    <row r="45" spans="1:18" ht="51" customHeight="1" outlineLevel="1">
      <c r="A45" s="152" t="str">
        <f>ПТО!A4</f>
        <v>Монтаж системы видеонаблюдения.</v>
      </c>
      <c r="B45" s="152"/>
      <c r="C45" s="152"/>
      <c r="D45" s="152"/>
      <c r="E45" s="152"/>
      <c r="F45" s="153">
        <f>VLOOKUP(A45,ПТО!$A$2:$D$31,4,FALSE)</f>
        <v>50317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10"/>
      <c r="L45" s="176"/>
      <c r="M45" s="117"/>
      <c r="N45" s="110"/>
      <c r="O45" s="23" t="str">
        <f t="shared" si="1"/>
        <v>Монтаж системы видеонаблюдения.</v>
      </c>
      <c r="R45" s="22" t="s">
        <v>72</v>
      </c>
    </row>
    <row r="46" spans="1:18" ht="51" customHeight="1" outlineLevel="1">
      <c r="A46" s="152" t="str">
        <f>ПТО!A5</f>
        <v>Приобретение и установка дополнительного циркуляционного насоса и эл. кабеля в подвал.</v>
      </c>
      <c r="B46" s="152"/>
      <c r="C46" s="152"/>
      <c r="D46" s="152"/>
      <c r="E46" s="152"/>
      <c r="F46" s="153">
        <f>VLOOKUP(A46,ПТО!$A$2:$D$31,4,FALSE)</f>
        <v>4316.82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10"/>
      <c r="L46" s="176"/>
      <c r="M46" s="117"/>
      <c r="N46" s="110"/>
      <c r="O46" s="23" t="str">
        <f t="shared" si="1"/>
        <v>Приобретение и установка дополнительного циркуляционного насоса и эл. кабеля в подвал.</v>
      </c>
      <c r="R46" s="22" t="s">
        <v>72</v>
      </c>
    </row>
    <row r="47" spans="1:18" ht="51" customHeight="1" outlineLevel="1">
      <c r="A47" s="152" t="str">
        <f>ПТО!A6</f>
        <v>Установка фотоэлемента над входной группой.</v>
      </c>
      <c r="B47" s="152"/>
      <c r="C47" s="152"/>
      <c r="D47" s="152"/>
      <c r="E47" s="152"/>
      <c r="F47" s="153">
        <f>VLOOKUP(A47,ПТО!$A$2:$D$31,4,FALSE)</f>
        <v>1000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10"/>
      <c r="L47" s="176"/>
      <c r="M47" s="117"/>
      <c r="N47" s="110"/>
      <c r="O47" s="23" t="str">
        <f t="shared" si="1"/>
        <v>Установка фотоэлемента над входной группой.</v>
      </c>
      <c r="R47" s="22" t="s">
        <v>72</v>
      </c>
    </row>
    <row r="48" spans="1:18" ht="51" customHeight="1" outlineLevel="1">
      <c r="A48" s="152" t="str">
        <f>ПТО!A7</f>
        <v>Аварийный ремонт теплообменника ГВС (замена уплотнительных прокладок).</v>
      </c>
      <c r="B48" s="152"/>
      <c r="C48" s="152"/>
      <c r="D48" s="152"/>
      <c r="E48" s="152"/>
      <c r="F48" s="153">
        <f>VLOOKUP(A48,ПТО!$A$2:$D$31,4,FALSE)</f>
        <v>4495.03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10"/>
      <c r="L48" s="176"/>
      <c r="M48" s="117"/>
      <c r="N48" s="110"/>
      <c r="O48" s="23" t="str">
        <f t="shared" si="1"/>
        <v>Аварийный ремонт теплообменника ГВС (замена уплотнительных прокладок).</v>
      </c>
      <c r="R48" s="22" t="s">
        <v>72</v>
      </c>
    </row>
    <row r="49" spans="1:18" ht="51" customHeight="1" outlineLevel="1">
      <c r="A49" s="152" t="str">
        <f>ПТО!A8</f>
        <v>Приобретение и установка информационного стенда на детскую площадку.</v>
      </c>
      <c r="B49" s="152"/>
      <c r="C49" s="152"/>
      <c r="D49" s="152"/>
      <c r="E49" s="152"/>
      <c r="F49" s="153">
        <f>VLOOKUP(A49,ПТО!$A$2:$D$31,4,FALSE)</f>
        <v>542.4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10"/>
      <c r="L49" s="176"/>
      <c r="M49" s="117"/>
      <c r="N49" s="110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customHeight="1" outlineLevel="1">
      <c r="A50" s="152" t="str">
        <f>ПТО!A9</f>
        <v>Приобретение и установка лучевых светильников (3 этаж, 2 шт.).</v>
      </c>
      <c r="B50" s="152"/>
      <c r="C50" s="152"/>
      <c r="D50" s="152"/>
      <c r="E50" s="152"/>
      <c r="F50" s="153">
        <f>VLOOKUP(A50,ПТО!$A$2:$D$31,4,FALSE)</f>
        <v>2400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10"/>
      <c r="L50" s="176"/>
      <c r="M50" s="117"/>
      <c r="N50" s="110"/>
      <c r="O50" s="23" t="str">
        <f t="shared" si="1"/>
        <v>Приобретение и установка лучевых светильников (3 этаж, 2 шт.).</v>
      </c>
      <c r="R50" s="22" t="s">
        <v>72</v>
      </c>
    </row>
    <row r="51" spans="1:18" ht="51" customHeight="1" outlineLevel="1">
      <c r="A51" s="152" t="str">
        <f>ПТО!A10</f>
        <v>Перерасчет по итогам 2021 года.</v>
      </c>
      <c r="B51" s="152"/>
      <c r="C51" s="152"/>
      <c r="D51" s="152"/>
      <c r="E51" s="152"/>
      <c r="F51" s="153">
        <f>VLOOKUP(A51,ПТО!$A$2:$D$31,4,FALSE)</f>
        <v>146183.74</v>
      </c>
      <c r="G51" s="153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10"/>
      <c r="L51" s="176"/>
      <c r="M51" s="117"/>
      <c r="N51" s="110"/>
      <c r="O51" s="23" t="str">
        <f t="shared" si="1"/>
        <v>Перерасчет по итогам 2021 года.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10"/>
      <c r="L52" s="176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10"/>
      <c r="L53" s="176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10"/>
      <c r="L54" s="176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10"/>
      <c r="L55" s="176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10"/>
      <c r="L56" s="176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10"/>
      <c r="L57" s="176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10"/>
      <c r="L58" s="176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10"/>
      <c r="L59" s="176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10"/>
      <c r="L60" s="176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10"/>
      <c r="L61" s="176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10"/>
      <c r="L62" s="176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10"/>
      <c r="L63" s="176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10"/>
      <c r="L64" s="176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10"/>
      <c r="L65" s="176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10"/>
      <c r="L66" s="176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10"/>
      <c r="L67" s="176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10"/>
      <c r="L68" s="176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10"/>
      <c r="L69" s="176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10"/>
      <c r="L70" s="176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7"/>
      <c r="L71" s="176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10"/>
      <c r="L72" s="176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59"/>
      <c r="M75" s="110"/>
      <c r="N75" s="110"/>
      <c r="O75" s="71" t="s">
        <v>97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59"/>
      <c r="M76" s="110"/>
      <c r="N76" s="110"/>
      <c r="O76" s="71" t="s">
        <v>98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59"/>
      <c r="M77" s="110"/>
      <c r="N77" s="110"/>
      <c r="O77" s="71" t="s">
        <v>99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10"/>
      <c r="L78" s="159"/>
      <c r="M78" s="110"/>
      <c r="N78" s="110"/>
      <c r="O78" s="71" t="s">
        <v>100</v>
      </c>
    </row>
    <row r="79" spans="1:16384">
      <c r="A79" s="116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8">
        <f t="shared" ref="J81:J90" si="2">VLOOKUP(O81,АО,3,FALSE)</f>
        <v>0</v>
      </c>
      <c r="K81" s="110"/>
      <c r="L81" s="177"/>
      <c r="M81" s="110"/>
      <c r="N81" s="110"/>
      <c r="O81" s="71" t="s">
        <v>101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8">
        <f t="shared" si="2"/>
        <v>0</v>
      </c>
      <c r="K82" s="110"/>
      <c r="L82" s="177"/>
      <c r="M82" s="110"/>
      <c r="N82" s="110"/>
      <c r="O82" s="71" t="s">
        <v>102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8">
        <f t="shared" si="2"/>
        <v>34010.080000000002</v>
      </c>
      <c r="K83" s="110"/>
      <c r="L83" s="177"/>
      <c r="M83" s="110"/>
      <c r="N83" s="110"/>
      <c r="O83" s="71" t="s">
        <v>103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8">
        <f t="shared" si="2"/>
        <v>0</v>
      </c>
      <c r="K84" s="110"/>
      <c r="L84" s="177"/>
      <c r="M84" s="110"/>
      <c r="N84" s="110"/>
      <c r="O84" s="71" t="s">
        <v>104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8">
        <f t="shared" si="2"/>
        <v>0</v>
      </c>
      <c r="K85" s="110"/>
      <c r="L85" s="177"/>
      <c r="M85" s="110"/>
      <c r="N85" s="110"/>
      <c r="O85" s="71" t="s">
        <v>105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8">
        <f t="shared" si="2"/>
        <v>16789.48</v>
      </c>
      <c r="K86" s="110"/>
      <c r="L86" s="177"/>
      <c r="M86" s="110"/>
      <c r="N86" s="110"/>
      <c r="O86" s="71" t="s">
        <v>106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10"/>
      <c r="L87" s="177"/>
      <c r="M87" s="110"/>
      <c r="N87" s="110"/>
      <c r="O87" s="71" t="s">
        <v>107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10"/>
      <c r="L88" s="177"/>
      <c r="M88" s="110"/>
      <c r="N88" s="110"/>
      <c r="O88" s="71" t="s">
        <v>108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10"/>
      <c r="L89" s="177"/>
      <c r="M89" s="110"/>
      <c r="N89" s="110"/>
      <c r="O89" s="71" t="s">
        <v>109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8">
        <f t="shared" si="2"/>
        <v>0</v>
      </c>
      <c r="K90" s="110"/>
      <c r="L90" s="177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10"/>
      <c r="L93" s="110"/>
      <c r="M93" s="110"/>
      <c r="N93" s="110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2">
        <f>VLOOKUP("эл",АО,5,FALSE)</f>
        <v>31726.77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26438.98</v>
      </c>
      <c r="L95" s="178"/>
      <c r="O95" s="1" t="s">
        <v>111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40482.71</v>
      </c>
      <c r="L96" s="178"/>
      <c r="O96" s="1" t="s">
        <v>112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113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31726.77</v>
      </c>
      <c r="L98" s="178"/>
      <c r="O98" s="1" t="s">
        <v>114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31726.77</v>
      </c>
      <c r="L99" s="178"/>
      <c r="O99" s="1" t="s">
        <v>115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116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117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6957.98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527.12</v>
      </c>
      <c r="L103" s="178"/>
      <c r="O103" s="1" t="s">
        <v>120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9218.59</v>
      </c>
      <c r="L104" s="178"/>
      <c r="O104" s="1" t="s">
        <v>121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78"/>
      <c r="O105" s="1" t="s">
        <v>122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6957.98</v>
      </c>
      <c r="L106" s="178"/>
      <c r="O106" s="1" t="s">
        <v>123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6957.98</v>
      </c>
      <c r="L107" s="178"/>
      <c r="O107" s="1" t="s">
        <v>124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125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126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13879.6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865.31</v>
      </c>
      <c r="L111" s="178"/>
      <c r="O111" s="1" t="s">
        <v>128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18540.68</v>
      </c>
      <c r="L112" s="178"/>
      <c r="O112" s="1" t="s">
        <v>129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78"/>
      <c r="O113" s="1" t="s">
        <v>130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13879.6</v>
      </c>
      <c r="L114" s="178"/>
      <c r="O114" s="1" t="s">
        <v>131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13879.6</v>
      </c>
      <c r="L115" s="178"/>
      <c r="O115" s="1" t="s">
        <v>132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133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134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8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65" t="str">
        <f>IF(VLOOKUP("гвс",АО,3,FALSE)&gt;0,"Горячее водоснабжение",0)</f>
        <v>Горячее водоснабжение</v>
      </c>
      <c r="B126" s="165"/>
      <c r="C126" s="165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2">
        <f>VLOOKUP("гвс",АО,5,FALSE)</f>
        <v>4540.3</v>
      </c>
      <c r="H126" s="163"/>
      <c r="I126" s="163"/>
      <c r="J126" s="163"/>
      <c r="L126" s="48"/>
    </row>
    <row r="127" spans="1:15" ht="32.25" customHeight="1" outlineLevel="2">
      <c r="A127" s="160" t="str">
        <f t="shared" ref="A127:A133" si="10">IF(VLOOKUP("гвс",АО,3,FALSE)&gt;0,VLOOKUP(O127,АО,2,FALSE),0)</f>
        <v>Общий объем потребления, нат. показ.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343.96</v>
      </c>
      <c r="L127" s="48"/>
      <c r="O127" s="1" t="s">
        <v>144</v>
      </c>
    </row>
    <row r="128" spans="1:15" ht="32.25" customHeight="1" outlineLevel="2">
      <c r="A128" s="160" t="str">
        <f t="shared" si="10"/>
        <v>Оплачено потребителями, руб.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6083.27</v>
      </c>
      <c r="L128" s="48"/>
      <c r="O128" s="1" t="s">
        <v>145</v>
      </c>
    </row>
    <row r="129" spans="1:15" ht="32.25" customHeight="1" outlineLevel="2">
      <c r="A129" s="160" t="str">
        <f t="shared" si="10"/>
        <v>Задолженность потребителей, руб.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8"/>
      <c r="O129" s="1" t="s">
        <v>146</v>
      </c>
    </row>
    <row r="130" spans="1:15" ht="32.25" customHeight="1" outlineLevel="2">
      <c r="A130" s="160" t="str">
        <f t="shared" si="10"/>
        <v>Начислено поставщиком (поставщиками) коммунального ресурса, руб.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4540.3</v>
      </c>
      <c r="L130" s="48"/>
      <c r="O130" s="1" t="s">
        <v>147</v>
      </c>
    </row>
    <row r="131" spans="1:15" ht="32.25" customHeight="1" outlineLevel="2">
      <c r="A131" s="160" t="str">
        <f t="shared" si="10"/>
        <v>Оплачено поставщику (поставщикам) коммунального ресурса, руб.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4540.3</v>
      </c>
      <c r="L131" s="48"/>
      <c r="O131" s="1" t="s">
        <v>148</v>
      </c>
    </row>
    <row r="132" spans="1:15" ht="32.25" customHeight="1" outlineLevel="2">
      <c r="A132" s="160" t="str">
        <f t="shared" si="10"/>
        <v>Задолженность перед поставщиком (поставщиками) коммунального ресурса, руб.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60" t="str">
        <f t="shared" si="10"/>
        <v>Размер пени и штрафов, уплаченных поставщику (поставщикам) коммунального ресурса, руб.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8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168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60" t="s">
        <v>171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0</v>
      </c>
      <c r="O146" t="s">
        <v>170</v>
      </c>
    </row>
    <row r="149" spans="1:15" ht="52.5" customHeight="1">
      <c r="A149" s="156" t="s">
        <v>177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5" t="s">
        <v>178</v>
      </c>
      <c r="B154" s="155"/>
      <c r="C154" s="155"/>
      <c r="D154" s="155"/>
      <c r="E154" s="27">
        <f>ПТО!G1</f>
        <v>-144322.1</v>
      </c>
    </row>
    <row r="155" spans="1:15" ht="34.5" customHeight="1">
      <c r="A155" s="157" t="s">
        <v>182</v>
      </c>
      <c r="B155" s="157"/>
      <c r="C155" s="157"/>
      <c r="D155" s="157"/>
      <c r="E155" s="28">
        <f>J13</f>
        <v>74138.747999999992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5790</v>
      </c>
      <c r="G158" s="153"/>
      <c r="H158" s="24" t="str">
        <f t="shared" ref="H158:H187" si="16">VLOOKUP(A158,$A$28:$J$72,8,FALSE)</f>
        <v>ежемесячно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Приобретение и установка светильника в подъезде (тамбур).</v>
      </c>
      <c r="B159" s="152"/>
      <c r="C159" s="152"/>
      <c r="D159" s="152"/>
      <c r="E159" s="152"/>
      <c r="F159" s="153">
        <f t="shared" si="15"/>
        <v>3415.86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Приобретение и установка светильника в подъезде (тамбур).</v>
      </c>
    </row>
    <row r="160" spans="1:15" ht="28.5" customHeight="1">
      <c r="A160" s="152" t="str">
        <f t="shared" si="14"/>
        <v>Монтаж системы видеонаблюдения.</v>
      </c>
      <c r="B160" s="152"/>
      <c r="C160" s="152"/>
      <c r="D160" s="152"/>
      <c r="E160" s="152"/>
      <c r="F160" s="153">
        <f t="shared" si="15"/>
        <v>50317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Монтаж системы видеонаблюдения.</v>
      </c>
    </row>
    <row r="161" spans="1:14" ht="28.5" customHeight="1">
      <c r="A161" s="152" t="str">
        <f>IF(N161&gt;0,N161,0)</f>
        <v>Приобретение и установка дополнительного циркуляционного насоса и эл. кабеля в подвал.</v>
      </c>
      <c r="B161" s="152"/>
      <c r="C161" s="152"/>
      <c r="D161" s="152"/>
      <c r="E161" s="152"/>
      <c r="F161" s="153">
        <f t="shared" si="15"/>
        <v>4316.82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Приобретение и установка дополнительного циркуляционного насоса и эл. кабеля в подвал.</v>
      </c>
    </row>
    <row r="162" spans="1:14" ht="28.5" customHeight="1">
      <c r="A162" s="152" t="str">
        <f t="shared" si="14"/>
        <v>Установка фотоэлемента над входной группой.</v>
      </c>
      <c r="B162" s="152"/>
      <c r="C162" s="152"/>
      <c r="D162" s="152"/>
      <c r="E162" s="152"/>
      <c r="F162" s="153">
        <f t="shared" si="15"/>
        <v>1000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Установка фотоэлемента над входной группой.</v>
      </c>
    </row>
    <row r="163" spans="1:14" ht="28.5" customHeight="1">
      <c r="A163" s="152" t="str">
        <f t="shared" si="14"/>
        <v>Аварийный ремонт теплообменника ГВС (замена уплотнительных прокладок).</v>
      </c>
      <c r="B163" s="152"/>
      <c r="C163" s="152"/>
      <c r="D163" s="152"/>
      <c r="E163" s="152"/>
      <c r="F163" s="153">
        <f t="shared" si="15"/>
        <v>4495.03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Аварийный ремонт теплообменника ГВС (замена уплотнительных прокладок).</v>
      </c>
    </row>
    <row r="164" spans="1:14" ht="28.5" customHeight="1">
      <c r="A164" s="152" t="str">
        <f t="shared" ref="A164:A187" si="18">IF(N164&gt;0,N164,0)</f>
        <v>Приобретение и установка информационного стенда на детскую площадку.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542.4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customHeight="1">
      <c r="A165" s="152" t="str">
        <f t="shared" si="18"/>
        <v>Приобретение и установка лучевых светильников (3 этаж, 2 шт.).</v>
      </c>
      <c r="B165" s="152"/>
      <c r="C165" s="152"/>
      <c r="D165" s="152"/>
      <c r="E165" s="152"/>
      <c r="F165" s="153">
        <f t="shared" si="19"/>
        <v>2400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Приобретение и установка лучевых светильников (3 этаж, 2 шт.).</v>
      </c>
    </row>
    <row r="166" spans="1:14" ht="28.5" customHeight="1">
      <c r="A166" s="152" t="str">
        <f t="shared" si="18"/>
        <v>Перерасчет по итогам 2021 года.</v>
      </c>
      <c r="B166" s="152"/>
      <c r="C166" s="152"/>
      <c r="D166" s="152"/>
      <c r="E166" s="152"/>
      <c r="F166" s="153">
        <f t="shared" si="19"/>
        <v>146183.74</v>
      </c>
      <c r="G166" s="153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Перерасчет по итогам 2021 года.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55" t="s">
        <v>181</v>
      </c>
      <c r="B190" s="155"/>
      <c r="C190" s="155"/>
      <c r="D190" s="155"/>
      <c r="E190" s="27">
        <f>SUM(F158:G187)</f>
        <v>218460.84999999998</v>
      </c>
    </row>
    <row r="191" spans="1:14" ht="51.75" customHeight="1">
      <c r="A191" s="155" t="s">
        <v>180</v>
      </c>
      <c r="B191" s="155"/>
      <c r="C191" s="155"/>
      <c r="D191" s="155"/>
      <c r="E191" s="27">
        <f>E190+E154-E155</f>
        <v>1.9999999785795808E-3</v>
      </c>
    </row>
    <row r="192" spans="1:14">
      <c r="A192" s="105" t="s">
        <v>172</v>
      </c>
    </row>
    <row r="193" spans="1:10" ht="62.25" customHeight="1">
      <c r="A193" s="180" t="s">
        <v>179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 hidden="1">
      <c r="A194" s="179">
        <f>ПТО!F12</f>
        <v>0</v>
      </c>
      <c r="B194" s="179"/>
      <c r="C194" s="179"/>
      <c r="D194" s="179"/>
      <c r="E194" s="179"/>
      <c r="F194" s="179"/>
      <c r="G194" s="179"/>
      <c r="H194" s="50">
        <f>ПТО!G12</f>
        <v>0</v>
      </c>
      <c r="I194" s="51" t="s">
        <v>73</v>
      </c>
    </row>
    <row r="195" spans="1:10" ht="18.75" hidden="1" customHeight="1">
      <c r="A195" s="179">
        <f>ПТО!F13</f>
        <v>0</v>
      </c>
      <c r="B195" s="179"/>
      <c r="C195" s="179"/>
      <c r="D195" s="179"/>
      <c r="E195" s="179"/>
      <c r="F195" s="179"/>
      <c r="G195" s="179"/>
      <c r="H195" s="50">
        <f>ПТО!G13</f>
        <v>0</v>
      </c>
      <c r="I195" s="51" t="s">
        <v>73</v>
      </c>
    </row>
    <row r="196" spans="1:10" ht="18.75" hidden="1" customHeight="1">
      <c r="A196" s="179">
        <f>ПТО!F14</f>
        <v>0</v>
      </c>
      <c r="B196" s="179"/>
      <c r="C196" s="179"/>
      <c r="D196" s="179"/>
      <c r="E196" s="179"/>
      <c r="F196" s="179"/>
      <c r="G196" s="179"/>
      <c r="H196" s="50">
        <f>ПТО!G14</f>
        <v>0</v>
      </c>
      <c r="I196" s="51" t="s">
        <v>73</v>
      </c>
    </row>
    <row r="197" spans="1:10" ht="18.75" hidden="1" customHeight="1">
      <c r="A197" s="179">
        <f>ПТО!F15</f>
        <v>0</v>
      </c>
      <c r="B197" s="179"/>
      <c r="C197" s="179"/>
      <c r="D197" s="179"/>
      <c r="E197" s="179"/>
      <c r="F197" s="179"/>
      <c r="G197" s="179"/>
      <c r="H197" s="50">
        <f>ПТО!G15</f>
        <v>0</v>
      </c>
      <c r="I197" s="51" t="s">
        <v>73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50">
        <f>ПТО!G16</f>
        <v>0</v>
      </c>
      <c r="I198" s="53" t="s">
        <v>73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50">
        <f>ПТО!G17</f>
        <v>0</v>
      </c>
      <c r="I199" s="51" t="s">
        <v>73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50">
        <f>ПТО!G18</f>
        <v>0</v>
      </c>
      <c r="I200" s="51" t="s">
        <v>73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50">
        <f>ПТО!G19</f>
        <v>0</v>
      </c>
      <c r="I201" s="51" t="s">
        <v>73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50">
        <f>ПТО!G20</f>
        <v>0</v>
      </c>
      <c r="I202" s="51" t="s">
        <v>73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50">
        <f>ПТО!G21</f>
        <v>0</v>
      </c>
      <c r="I203" s="51" t="s">
        <v>73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50">
        <f>ПТО!G22</f>
        <v>0</v>
      </c>
      <c r="I204" s="51" t="s">
        <v>73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50">
        <f>ПТО!G23</f>
        <v>0</v>
      </c>
      <c r="I205" s="51" t="s">
        <v>73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50">
        <f>ПТО!G24</f>
        <v>0</v>
      </c>
      <c r="I206" s="51" t="s">
        <v>73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50">
        <f>ПТО!G25</f>
        <v>0</v>
      </c>
      <c r="I207" s="51" t="s">
        <v>73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50">
        <f>ПТО!G26</f>
        <v>0</v>
      </c>
      <c r="I208" s="51" t="s">
        <v>73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50">
        <f>ПТО!G27</f>
        <v>0</v>
      </c>
      <c r="I209" s="51" t="s">
        <v>73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50">
        <f>ПТО!G28</f>
        <v>0</v>
      </c>
      <c r="I210" s="51" t="s">
        <v>73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50">
        <f>ПТО!G29</f>
        <v>0</v>
      </c>
      <c r="I211" s="51" t="s">
        <v>73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50">
        <f>ПТО!G30</f>
        <v>0</v>
      </c>
      <c r="I212" s="51" t="s">
        <v>73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bu2wcSBiUsN5xnVj5akeaGTwYhijDPTebqATziO8yPee9X2osTmtRqSX9LSld5ZuQ5sjkFyWMIA3dS60G3IkBA==" saltValue="pQbZ+onR5Mym2O7RF+IGp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0" sqref="A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178</v>
      </c>
      <c r="G1" s="102">
        <f>-144322.1</f>
        <v>-144322.1</v>
      </c>
    </row>
    <row r="2" spans="1:12" ht="18.75" customHeight="1">
      <c r="A2" s="120" t="s">
        <v>176</v>
      </c>
      <c r="B2" s="121" t="s">
        <v>174</v>
      </c>
      <c r="C2" s="121">
        <v>12</v>
      </c>
      <c r="D2" s="119">
        <v>5790</v>
      </c>
      <c r="E2" s="31" t="s">
        <v>207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184</v>
      </c>
      <c r="B3" s="130" t="s">
        <v>183</v>
      </c>
      <c r="C3" s="131">
        <v>1</v>
      </c>
      <c r="D3" s="124">
        <v>3415.86</v>
      </c>
      <c r="E3" s="125" t="s">
        <v>187</v>
      </c>
      <c r="F3" s="30"/>
      <c r="G3" s="30"/>
      <c r="L3" s="33" t="str">
        <f t="shared" si="0"/>
        <v>ТР</v>
      </c>
    </row>
    <row r="4" spans="1:12" ht="18.75" customHeight="1">
      <c r="A4" s="132" t="s">
        <v>185</v>
      </c>
      <c r="B4" s="133" t="s">
        <v>183</v>
      </c>
      <c r="C4" s="122">
        <v>1</v>
      </c>
      <c r="D4" s="123">
        <v>50317</v>
      </c>
      <c r="E4" s="134" t="s">
        <v>186</v>
      </c>
      <c r="F4" s="30"/>
      <c r="G4" s="30"/>
      <c r="L4" s="33" t="str">
        <f t="shared" si="0"/>
        <v>ТР</v>
      </c>
    </row>
    <row r="5" spans="1:12" ht="18.75" customHeight="1">
      <c r="A5" s="45" t="s">
        <v>188</v>
      </c>
      <c r="B5" s="135" t="s">
        <v>183</v>
      </c>
      <c r="C5" s="43">
        <v>1</v>
      </c>
      <c r="D5" s="47">
        <v>4316.82</v>
      </c>
      <c r="E5" s="45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136" t="s">
        <v>190</v>
      </c>
      <c r="B6" s="137" t="s">
        <v>183</v>
      </c>
      <c r="C6" s="122">
        <v>1</v>
      </c>
      <c r="D6" s="123">
        <v>1000</v>
      </c>
      <c r="E6" s="138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20" t="s">
        <v>192</v>
      </c>
      <c r="B7" s="121" t="s">
        <v>183</v>
      </c>
      <c r="C7" s="121">
        <v>1</v>
      </c>
      <c r="D7" s="139">
        <v>4495.03</v>
      </c>
      <c r="E7" s="140" t="s">
        <v>193</v>
      </c>
      <c r="F7" s="46"/>
      <c r="G7" s="46"/>
      <c r="K7" s="47"/>
      <c r="L7" s="33" t="str">
        <f t="shared" si="0"/>
        <v>ТР</v>
      </c>
    </row>
    <row r="8" spans="1:12" ht="18.75" customHeight="1">
      <c r="A8" s="141" t="s">
        <v>195</v>
      </c>
      <c r="B8" s="130" t="s">
        <v>183</v>
      </c>
      <c r="C8" s="131">
        <v>1</v>
      </c>
      <c r="D8" s="142">
        <v>542.4</v>
      </c>
      <c r="E8" s="143" t="s">
        <v>196</v>
      </c>
      <c r="F8" s="46"/>
      <c r="G8" s="46"/>
      <c r="K8" s="44"/>
      <c r="L8" s="33" t="str">
        <f t="shared" si="0"/>
        <v>ТР</v>
      </c>
    </row>
    <row r="9" spans="1:12">
      <c r="A9" s="144" t="s">
        <v>194</v>
      </c>
      <c r="B9" s="145" t="s">
        <v>183</v>
      </c>
      <c r="C9" s="43">
        <v>1</v>
      </c>
      <c r="D9" s="44">
        <v>2400</v>
      </c>
      <c r="E9" s="146" t="s">
        <v>197</v>
      </c>
      <c r="F9" s="45"/>
      <c r="G9" s="45"/>
      <c r="K9" s="44"/>
      <c r="L9" s="33" t="str">
        <f t="shared" si="0"/>
        <v>ТР</v>
      </c>
    </row>
    <row r="10" spans="1:12">
      <c r="A10" s="151" t="s">
        <v>209</v>
      </c>
      <c r="B10" s="150" t="s">
        <v>183</v>
      </c>
      <c r="C10" s="43">
        <v>1</v>
      </c>
      <c r="D10" s="44">
        <v>146183.74</v>
      </c>
      <c r="E10" s="45" t="s">
        <v>208</v>
      </c>
      <c r="L10" s="33" t="str">
        <f t="shared" si="0"/>
        <v>ТР</v>
      </c>
    </row>
    <row r="11" spans="1:12" ht="94.5">
      <c r="A11" s="30"/>
      <c r="F11" s="112" t="s">
        <v>179</v>
      </c>
      <c r="G11" s="112"/>
      <c r="L11" s="33">
        <f t="shared" si="0"/>
        <v>0</v>
      </c>
    </row>
    <row r="12" spans="1:12" ht="15.75">
      <c r="A12" s="30"/>
      <c r="F12" s="113"/>
      <c r="G12" s="114"/>
      <c r="L12" s="33">
        <f t="shared" si="0"/>
        <v>0</v>
      </c>
    </row>
    <row r="13" spans="1:12" ht="15.75">
      <c r="A13" s="30"/>
      <c r="F13" s="113"/>
      <c r="G13" s="114"/>
      <c r="L13" s="33">
        <f t="shared" si="0"/>
        <v>0</v>
      </c>
    </row>
    <row r="14" spans="1:12" ht="15.75">
      <c r="A14" s="30"/>
      <c r="F14" s="127"/>
      <c r="G14" s="128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29111.396799999995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29111.396799999995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29111.4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29111.4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16324.08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16324.08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6801.72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6801.72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26">
        <v>28703.279999999999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28703.279999999999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198</v>
      </c>
      <c r="B47" s="147">
        <f>(E47*G53*F55*6+E47*G53*G55*6)+(F47*G59*F61*6+F47*G59*G61*6)+(F47*G63*F65*6+F47*G63*G65*6)</f>
        <v>25042.980599999995</v>
      </c>
      <c r="C47" s="148" t="s">
        <v>68</v>
      </c>
      <c r="D47" s="49">
        <v>12</v>
      </c>
      <c r="E47" s="147">
        <v>590.1</v>
      </c>
      <c r="F47" s="147">
        <v>144.4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25042.980599999995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26"/>
      <c r="C48" s="148"/>
      <c r="D48" s="49"/>
      <c r="F48" s="31" t="s">
        <v>206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 t="s">
        <v>199</v>
      </c>
      <c r="F52" s="149" t="s">
        <v>200</v>
      </c>
      <c r="G52" s="149" t="s">
        <v>201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/>
      <c r="F53" s="147">
        <v>1129.2</v>
      </c>
      <c r="G53" s="149">
        <v>2.5</v>
      </c>
      <c r="H53" s="149">
        <f>G53*E47/F53</f>
        <v>1.3064558979808714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 t="s">
        <v>202</v>
      </c>
      <c r="G54" s="149" t="s">
        <v>203</v>
      </c>
      <c r="H54" s="149">
        <f>H53*G56</f>
        <v>27.4355738575983</v>
      </c>
    </row>
    <row r="55" spans="5:16">
      <c r="E55" s="149"/>
      <c r="F55" s="149">
        <v>1.17</v>
      </c>
      <c r="G55" s="149">
        <v>1.23</v>
      </c>
      <c r="H55" s="149"/>
    </row>
    <row r="56" spans="5:16">
      <c r="E56" s="149"/>
      <c r="F56" s="149"/>
      <c r="G56" s="149">
        <v>21</v>
      </c>
      <c r="H56" s="149"/>
    </row>
    <row r="57" spans="5:16">
      <c r="E57" s="149"/>
      <c r="F57" s="149"/>
      <c r="G57" s="149"/>
      <c r="H57" s="149"/>
    </row>
    <row r="58" spans="5:16">
      <c r="E58" s="149" t="s">
        <v>204</v>
      </c>
      <c r="F58" s="149"/>
      <c r="G58" s="149"/>
      <c r="H58" s="149"/>
    </row>
    <row r="59" spans="5:16">
      <c r="E59" s="149"/>
      <c r="F59" s="147">
        <f>F53</f>
        <v>1129.2</v>
      </c>
      <c r="G59" s="149">
        <v>7.4999999999999997E-2</v>
      </c>
      <c r="H59" s="149">
        <f>G59*F47</f>
        <v>10.83</v>
      </c>
    </row>
    <row r="60" spans="5:16">
      <c r="E60" s="149"/>
      <c r="F60" s="149" t="s">
        <v>202</v>
      </c>
      <c r="G60" s="149" t="s">
        <v>203</v>
      </c>
      <c r="H60" s="149">
        <f>H59/F59</f>
        <v>9.5908607863974486E-3</v>
      </c>
    </row>
    <row r="61" spans="5:16">
      <c r="E61" s="149"/>
      <c r="F61" s="149">
        <v>12.94</v>
      </c>
      <c r="G61" s="149">
        <v>13.45</v>
      </c>
      <c r="H61" s="149">
        <f>H60*G56</f>
        <v>0.20140807651434642</v>
      </c>
    </row>
    <row r="62" spans="5:16">
      <c r="E62" s="149" t="s">
        <v>205</v>
      </c>
      <c r="F62" s="149"/>
      <c r="G62" s="149"/>
      <c r="H62" s="149"/>
    </row>
    <row r="63" spans="5:16">
      <c r="E63" s="149"/>
      <c r="F63" s="147">
        <f>F53</f>
        <v>1129.2</v>
      </c>
      <c r="G63" s="149">
        <v>7.4999999999999997E-2</v>
      </c>
      <c r="H63" s="149">
        <f>G63*F47</f>
        <v>10.83</v>
      </c>
    </row>
    <row r="64" spans="5:16">
      <c r="E64" s="149"/>
      <c r="F64" s="149" t="s">
        <v>202</v>
      </c>
      <c r="G64" s="149" t="s">
        <v>203</v>
      </c>
      <c r="H64" s="149">
        <f>H63/F63</f>
        <v>9.5908607863974486E-3</v>
      </c>
    </row>
    <row r="65" spans="4:13" ht="18.75" customHeight="1">
      <c r="E65" s="149"/>
      <c r="F65" s="149">
        <v>15.73</v>
      </c>
      <c r="G65" s="149">
        <v>16.350000000000001</v>
      </c>
      <c r="H65" s="149">
        <f>H64*G56</f>
        <v>0.20140807651434642</v>
      </c>
      <c r="I65" s="100"/>
      <c r="J65" s="100"/>
      <c r="K65" s="100"/>
      <c r="L65" s="100"/>
      <c r="M65" s="100"/>
    </row>
    <row r="66" spans="4:13" ht="18.75" customHeight="1">
      <c r="D66" s="100"/>
      <c r="E66" s="100"/>
      <c r="F66" s="100"/>
      <c r="G66" s="100"/>
      <c r="H66" s="100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32" sqref="E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1133.6199999999999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84130.39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254334.538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111786.77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74138.747999999992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68409.02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242889.73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242889.73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242889.73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95575.198000000004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3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3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3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3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2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2"/>
      <c r="N26" s="64"/>
    </row>
    <row r="27" spans="1:15" ht="18.75" customHeight="1">
      <c r="A27" s="71" t="s">
        <v>103</v>
      </c>
      <c r="B27" s="76" t="s">
        <v>4</v>
      </c>
      <c r="C27" s="87">
        <v>34010.080000000002</v>
      </c>
      <c r="D27" s="82" t="s">
        <v>60</v>
      </c>
      <c r="E27" s="65"/>
      <c r="F27" s="65"/>
      <c r="G27" s="65"/>
      <c r="H27" s="65"/>
      <c r="I27" s="65"/>
      <c r="J27" s="65"/>
      <c r="M27" s="182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2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2"/>
      <c r="N29" s="64"/>
    </row>
    <row r="30" spans="1:15" ht="18.75" customHeight="1">
      <c r="A30" s="71" t="s">
        <v>106</v>
      </c>
      <c r="B30" s="76" t="s">
        <v>18</v>
      </c>
      <c r="C30" s="87">
        <v>16789.48</v>
      </c>
      <c r="D30" s="82" t="s">
        <v>66</v>
      </c>
      <c r="E30" s="65"/>
      <c r="F30" s="65"/>
      <c r="G30" s="65"/>
      <c r="H30" s="65"/>
      <c r="I30" s="65"/>
      <c r="J30" s="65"/>
      <c r="M30" s="182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2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2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2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2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31726.77</v>
      </c>
      <c r="F37" s="95" t="s">
        <v>165</v>
      </c>
      <c r="G37" s="67"/>
      <c r="H37" s="67"/>
      <c r="I37" s="67"/>
      <c r="L37" s="64"/>
      <c r="M37" s="181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26438.98</v>
      </c>
      <c r="D38" s="95" t="s">
        <v>163</v>
      </c>
      <c r="E38" s="69"/>
      <c r="G38" s="68"/>
      <c r="H38" s="68"/>
      <c r="L38" s="64"/>
      <c r="M38" s="181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40482.71</v>
      </c>
      <c r="D39" s="95" t="s">
        <v>164</v>
      </c>
      <c r="E39" s="69"/>
      <c r="G39" s="68"/>
      <c r="H39" s="68"/>
      <c r="L39" s="64"/>
      <c r="M39" s="181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1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31726.77</v>
      </c>
      <c r="D41" s="81" t="s">
        <v>59</v>
      </c>
      <c r="E41" s="69"/>
      <c r="G41" s="68"/>
      <c r="H41" s="68"/>
      <c r="L41" s="64"/>
      <c r="M41" s="181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31726.77</v>
      </c>
      <c r="D42" s="81" t="s">
        <v>59</v>
      </c>
      <c r="E42" s="69"/>
      <c r="G42" s="68"/>
      <c r="H42" s="68"/>
      <c r="L42" s="64"/>
      <c r="M42" s="181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1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1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6957.98</v>
      </c>
      <c r="F45" s="95" t="s">
        <v>165</v>
      </c>
      <c r="G45" s="67"/>
      <c r="H45" s="67"/>
      <c r="L45" s="64"/>
      <c r="M45" s="181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527.12</v>
      </c>
      <c r="D46" s="95" t="s">
        <v>166</v>
      </c>
      <c r="E46" s="69"/>
      <c r="G46" s="68"/>
      <c r="H46" s="68"/>
      <c r="L46" s="64"/>
      <c r="M46" s="181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9218.59</v>
      </c>
      <c r="D47" s="95" t="s">
        <v>164</v>
      </c>
      <c r="E47" s="69"/>
      <c r="G47" s="68"/>
      <c r="H47" s="68"/>
      <c r="L47" s="64"/>
      <c r="M47" s="181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1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6957.98</v>
      </c>
      <c r="D49" s="81" t="s">
        <v>59</v>
      </c>
      <c r="E49" s="69"/>
      <c r="G49" s="68"/>
      <c r="H49" s="68"/>
      <c r="L49" s="64"/>
      <c r="M49" s="181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6957.98</v>
      </c>
      <c r="D50" s="81" t="s">
        <v>59</v>
      </c>
      <c r="E50" s="69"/>
      <c r="G50" s="68"/>
      <c r="H50" s="68"/>
      <c r="L50" s="64"/>
      <c r="M50" s="181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1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1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13879.6</v>
      </c>
      <c r="F53" s="95" t="s">
        <v>165</v>
      </c>
      <c r="G53" s="67"/>
      <c r="H53" s="67"/>
      <c r="L53" s="64"/>
      <c r="M53" s="181"/>
      <c r="N53" s="64"/>
      <c r="O53" s="64"/>
    </row>
    <row r="54" spans="1:15" ht="18.75" customHeight="1">
      <c r="A54" s="74" t="s">
        <v>128</v>
      </c>
      <c r="B54" s="76" t="s">
        <v>37</v>
      </c>
      <c r="C54" s="99">
        <v>865.31</v>
      </c>
      <c r="D54" s="95" t="s">
        <v>166</v>
      </c>
      <c r="E54" s="70"/>
      <c r="F54" s="90"/>
      <c r="G54" s="65"/>
      <c r="H54" s="65"/>
      <c r="L54" s="64"/>
      <c r="M54" s="181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18540.68</v>
      </c>
      <c r="D55" s="95" t="s">
        <v>164</v>
      </c>
      <c r="E55" s="70"/>
      <c r="G55" s="65"/>
      <c r="H55" s="65"/>
      <c r="L55" s="64"/>
      <c r="M55" s="181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1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13879.6</v>
      </c>
      <c r="D57" s="81" t="s">
        <v>59</v>
      </c>
      <c r="E57" s="70"/>
      <c r="G57" s="65"/>
      <c r="H57" s="65"/>
      <c r="L57" s="64"/>
      <c r="M57" s="181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13879.6</v>
      </c>
      <c r="D58" s="81" t="s">
        <v>59</v>
      </c>
      <c r="E58" s="70"/>
      <c r="G58" s="65"/>
      <c r="H58" s="65"/>
      <c r="L58" s="64"/>
      <c r="M58" s="181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1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1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4540.3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99">
        <v>343.96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6083.27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4540.3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4540.3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2022-03-25T08:38:25Z</dcterms:modified>
</cp:coreProperties>
</file>