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5" i="1" l="1"/>
  <c r="A110" i="1"/>
  <c r="A123" i="1"/>
  <c r="A119" i="1"/>
  <c r="A118" i="1"/>
  <c r="A116" i="1"/>
  <c r="A114" i="1"/>
  <c r="D110" i="1"/>
  <c r="A112" i="1"/>
  <c r="F110" i="1"/>
  <c r="A113" i="1"/>
  <c r="A105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<sst xmlns="http://schemas.openxmlformats.org/spreadsheetml/2006/main" count="540" uniqueCount="194">
  <si>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</si>
  <si>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</si>
  <si>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</si>
  <si>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</si>
  <si>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</si>
  <si>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</si>
  <si>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</si>
  <si>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</si>
  <si>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</si>
  <si>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</si>
  <si>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</si>
  <si>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</si>
  <si>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</si>
  <si>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</si>
  <si>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</si>
  <si>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</si>
  <si>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</si>
  <si>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</si>
  <si>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</si>
  <si>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</si>
  <si>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</si>
  <si>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</si>
  <si>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</si>
  <si>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</si>
  <si>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</si>
  <si>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</si>
  <si>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</si>
  <si>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</si>
  <si>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</si>
  <si>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</si>
  <si>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</si>
  <si>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</si>
  <si>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</si>
  <si>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</si>
  <si>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</si>
  <si>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</si>
  <si>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</si>
  <si>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</si>
  <si>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</si>
  <si>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</si>
  <si>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</si>
  <si>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</si>
  <si>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</si>
  <si>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</si>
  <si>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</si>
  <si>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</si>
  <si>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</si>
  <si>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</si>
  <si>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</si>
  <si>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</si>
  <si>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</si>
  <si>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</si>
  <si>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</si>
  <si>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</si>
  <si>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</si>
  <si>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</si>
  <si>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</si>
  <si>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</si>
  <si>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</si>
  <si>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</si>
  <si>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</si>
  <si>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</si>
  <si>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</si>
  <si>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</si>
  <si>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</si>
  <si>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</si>
  <si>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</si>
  <si>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</si>
  <si>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</si>
  <si>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</si>
  <si>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</si>
  <si>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</si>
  <si>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</si>
  <si>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</si>
  <si>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</si>
  <si>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</si>
  <si>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</si>
  <si>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</si>
  <si>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</si>
  <si>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</si>
  <si>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</si>
  <si>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</si>
  <si>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</si>
  <si>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</si>
  <si>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</si>
  <si>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</si>
  <si>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</si>
  <si>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</si>
  <si>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</si>
  <si>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</si>
  <si>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</si>
  <si>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</si>
  <si>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</si>
  <si>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</si>
  <si>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</si>
  <si>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</si>
  <si>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</si>
  <si>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</si>
  <si>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</si>
  <si>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</si>
  <si>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</si>
  <si>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</si>
  <si>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</si>
  <si>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</si>
  <si>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</si>
  <si>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</si>
  <si>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</si>
  <si>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</si>
  <si>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</si>
  <si>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</si>
  <si>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</si>
  <si>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</si>
  <si>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</si>
  <si>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</si>
  <si>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</si>
  <si>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</si>
  <si>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</si>
  <si>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</si>
  <si>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</si>
  <si>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</si>
  <si>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</si>
  <si>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</si>
  <si>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</si>
  <si>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</si>
  <si>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</si>
  <si>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</si>
  <si>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</si>
  <si>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</si>
  <si>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</si>
  <si>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</si>
  <si>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</si>
  <si>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</si>
  <si>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</si>
  <si>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</si>
  <si>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</si>
  <si>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</si>
  <si>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</si>
  <si>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</si>
  <si>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</si>
  <si>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</si>
  <si>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</si>
  <si>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</si>
  <si>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</si>
  <si>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</si>
  <si>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</si>
  <si>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</si>
  <si>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</si>
  <si>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</si>
  <si>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</si>
  <si>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</si>
  <si>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</si>
  <si>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</si>
  <si>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</si>
  <si>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</si>
  <si>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</si>
  <si>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</si>
  <si>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</si>
  <si>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</si>
  <si>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</si>
  <si>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</si>
  <si>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</si>
  <si>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</si>
  <si>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</si>
  <si>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</si>
  <si>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</si>
  <si>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</si>
  <si>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</si>
  <si>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</si>
  <si>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</si>
  <si>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</si>
  <si>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</si>
  <si>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</si>
  <si>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</si>
  <si>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</si>
  <si>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131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</si>
  <si>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</si>
  <si>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</si>
  <si>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площадь дома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</si>
  <si>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</si>
  <si>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</si>
  <si>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</si>
  <si>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 xml:space="preserve">  -  замена светильников в подъезде</t>
  </si>
  <si>
    <t>Отчет об исполнении договора управления многоквартирного дома 
Березовый, 131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</si>
  <si>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</si>
  <si>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</si>
  <si>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</si>
  <si>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</si>
  <si>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</si>
  <si>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</si>
  <si>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</si>
  <si>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</si>
  <si>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</si>
  <si>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АВР 2/20 от 14.07.2020</t>
  </si>
  <si>
    <t xml:space="preserve">  -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</si>
</sst>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0" fontId="4" fillId="0" borderId="0" xfId="5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 applyAlignment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7" applyFont="1" applyFill="1" applyBorder="1" applyAlignment="1"/>
    <xf numFmtId="0" fontId="2" fillId="0" borderId="0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4" fontId="19" fillId="0" borderId="0" xfId="7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4" xfId="4"/>
    <cellStyle name="Обычный 4 2" xfId="7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7" sqref="L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4" t="s">
        <v>174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43831</v>
      </c>
      <c r="K4" s="112"/>
      <c r="L4" s="112"/>
      <c r="M4" s="112"/>
      <c r="N4" s="112"/>
    </row>
    <row r="5" spans="1:18">
      <c r="A5" s="1" t="s">
        <v>1</v>
      </c>
      <c r="E5" s="119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48" t="s">
        <v>2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5"/>
      <c r="M8" s="112"/>
      <c r="N8" s="112"/>
      <c r="O8" s="72" t="s">
        <v>81</v>
      </c>
      <c r="R8" s="16"/>
    </row>
    <row r="9" spans="1:18" ht="18.75" customHeight="1" outlineLevel="1">
      <c r="A9" s="148" t="s">
        <v>3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5"/>
      <c r="M9" s="112"/>
      <c r="N9" s="112"/>
      <c r="O9" s="72" t="s">
        <v>82</v>
      </c>
    </row>
    <row r="10" spans="1:18" ht="18.75" customHeight="1" outlineLevel="1">
      <c r="A10" s="148" t="s">
        <v>4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98683.930000000022</v>
      </c>
      <c r="K10" s="112"/>
      <c r="L10" s="155"/>
      <c r="M10" s="112"/>
      <c r="N10" s="112"/>
      <c r="O10" s="72" t="s">
        <v>83</v>
      </c>
    </row>
    <row r="11" spans="1:18" outlineLevel="1">
      <c r="A11" s="148" t="s">
        <v>5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233421.77</v>
      </c>
      <c r="K11" s="112"/>
      <c r="L11" s="155"/>
      <c r="M11" s="112"/>
      <c r="N11" s="112"/>
      <c r="O11" s="72" t="s">
        <v>84</v>
      </c>
    </row>
    <row r="12" spans="1:18" ht="18.75" customHeight="1" outlineLevel="1">
      <c r="A12" s="148" t="s">
        <v>6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161834.93</v>
      </c>
      <c r="K12" s="112"/>
      <c r="L12" s="155"/>
      <c r="M12" s="112"/>
      <c r="N12" s="112"/>
      <c r="O12" s="72" t="s">
        <v>85</v>
      </c>
    </row>
    <row r="13" spans="1:18" ht="18.75" customHeight="1" outlineLevel="1">
      <c r="A13" s="148" t="s">
        <v>7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71586.84</v>
      </c>
      <c r="K13" s="112"/>
      <c r="L13" s="155"/>
      <c r="M13" s="112"/>
      <c r="N13" s="112"/>
      <c r="O13" s="72" t="s">
        <v>86</v>
      </c>
    </row>
    <row r="14" spans="1:18" ht="18.75" customHeight="1" outlineLevel="1">
      <c r="A14" s="148" t="s">
        <v>8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0</v>
      </c>
      <c r="K14" s="112"/>
      <c r="L14" s="155"/>
      <c r="M14" s="112"/>
      <c r="N14" s="112"/>
      <c r="O14" s="72" t="s">
        <v>87</v>
      </c>
    </row>
    <row r="15" spans="1:18" ht="18.75" customHeight="1" outlineLevel="1">
      <c r="A15" s="148" t="s">
        <v>9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219041.12</v>
      </c>
      <c r="K15" s="112"/>
      <c r="L15" s="155"/>
      <c r="M15" s="112"/>
      <c r="N15" s="112"/>
      <c r="O15" s="72" t="s">
        <v>88</v>
      </c>
    </row>
    <row r="16" spans="1:18" ht="18.75" customHeight="1" outlineLevel="1">
      <c r="A16" s="148" t="s">
        <v>10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219041.12</v>
      </c>
      <c r="K16" s="112"/>
      <c r="L16" s="155"/>
      <c r="M16" s="112"/>
      <c r="N16" s="112"/>
      <c r="O16" s="72" t="s">
        <v>89</v>
      </c>
    </row>
    <row r="17" spans="1:23" ht="18.75" customHeight="1" outlineLevel="1">
      <c r="A17" s="148" t="s">
        <v>11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5"/>
      <c r="M17" s="112"/>
      <c r="N17" s="112"/>
      <c r="O17" s="72" t="s">
        <v>90</v>
      </c>
    </row>
    <row r="18" spans="1:23" ht="18.75" customHeight="1" outlineLevel="1">
      <c r="A18" s="148" t="s">
        <v>12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5"/>
      <c r="M18" s="112"/>
      <c r="N18" s="112"/>
      <c r="O18" s="72" t="s">
        <v>91</v>
      </c>
    </row>
    <row r="19" spans="1:23" ht="18.75" customHeight="1" outlineLevel="1">
      <c r="A19" s="148" t="s">
        <v>13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5"/>
      <c r="M19" s="112"/>
      <c r="N19" s="112"/>
      <c r="O19" s="72" t="s">
        <v>92</v>
      </c>
    </row>
    <row r="20" spans="1:23" ht="18.75" customHeight="1" outlineLevel="1">
      <c r="A20" s="148" t="s">
        <v>14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5"/>
      <c r="M20" s="112"/>
      <c r="N20" s="112"/>
      <c r="O20" s="72" t="s">
        <v>93</v>
      </c>
    </row>
    <row r="21" spans="1:23" ht="18.75" customHeight="1" outlineLevel="1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219041.12</v>
      </c>
      <c r="K21" s="112"/>
      <c r="L21" s="155"/>
      <c r="M21" s="112"/>
      <c r="N21" s="112"/>
      <c r="O21" s="72" t="s">
        <v>94</v>
      </c>
    </row>
    <row r="22" spans="1:23" ht="18.75" customHeight="1" outlineLevel="1">
      <c r="A22" s="148" t="s">
        <v>16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5"/>
      <c r="M22" s="112"/>
      <c r="N22" s="112"/>
      <c r="O22" s="72" t="s">
        <v>95</v>
      </c>
    </row>
    <row r="23" spans="1:23" ht="18.75" customHeight="1" outlineLevel="1">
      <c r="A23" s="148" t="s">
        <v>17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5"/>
      <c r="M23" s="112"/>
      <c r="N23" s="112"/>
      <c r="O23" s="72" t="s">
        <v>96</v>
      </c>
    </row>
    <row r="24" spans="1:23" ht="18.75" customHeight="1" outlineLevel="1">
      <c r="A24" s="148" t="s">
        <v>18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113064.58000000002</v>
      </c>
      <c r="K24" s="112"/>
      <c r="L24" s="155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57</v>
      </c>
      <c r="I27" s="147" t="s">
        <v>21</v>
      </c>
      <c r="J27" s="147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19702.800000000003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3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9"/>
      <c r="C29" s="139"/>
      <c r="D29" s="139"/>
      <c r="E29" s="139"/>
      <c r="F29" s="144">
        <f>VLOOKUP(A29,ПТО!$A$39:$D$53,2,FALSE)</f>
        <v>52409.399999999994</v>
      </c>
      <c r="G29" s="144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56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3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9"/>
      <c r="C30" s="139"/>
      <c r="D30" s="139"/>
      <c r="E30" s="139"/>
      <c r="F30" s="144">
        <f>VLOOKUP(A30,ПТО!$A$39:$D$53,2,FALSE)</f>
        <v>31130.399999999998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56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15762.24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56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6304.92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30736.32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39">
        <f>ПТО!A46</f>
        <v>0</v>
      </c>
      <c r="B35" s="139"/>
      <c r="C35" s="139"/>
      <c r="D35" s="139"/>
      <c r="E35" s="139"/>
      <c r="F35" s="144" t="e">
        <f>VLOOKUP(A35,ПТО!$A$39:$D$53,2,FALSE)</f>
        <v>#N/A</v>
      </c>
      <c r="G35" s="144"/>
      <c r="H35" s="42" t="e">
        <f>VLOOKUP(A35,ПТО!$A$39:$D$53,3,FALSE)</f>
        <v>#N/A</v>
      </c>
      <c r="I35" s="140" t="e">
        <f>VLOOKUP(A35,ПТО!$A$39:$D$53,4,FALSE)</f>
        <v>#N/A</v>
      </c>
      <c r="J35" s="140"/>
      <c r="K35" s="112"/>
      <c r="L35" s="156"/>
      <c r="M35" s="118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56"/>
      <c r="M36" s="118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56"/>
      <c r="M37" s="118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56"/>
      <c r="M38" s="118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56"/>
      <c r="M39" s="118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56"/>
      <c r="M40" s="118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56"/>
      <c r="M41" s="118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56"/>
      <c r="M42" s="118"/>
      <c r="N42" s="112"/>
      <c r="O42" s="23">
        <f t="shared" si="1"/>
        <v>0</v>
      </c>
      <c r="R42" s="1" t="s">
        <v>71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4">
        <f>VLOOKUP(A43,ПТО!$A$2:$D$31,4,FALSE)</f>
        <v>4929.12</v>
      </c>
      <c r="G43" s="144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56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39" t="str">
        <f>ПТО!A3</f>
        <v>Приобретение и установка таблички по пожарной безопасности.</v>
      </c>
      <c r="B44" s="139"/>
      <c r="C44" s="139"/>
      <c r="D44" s="139"/>
      <c r="E44" s="139"/>
      <c r="F44" s="144">
        <f>VLOOKUP(A44,ПТО!$A$2:$D$31,4,FALSE)</f>
        <v>250</v>
      </c>
      <c r="G44" s="144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56"/>
      <c r="M44" s="118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39" t="str">
        <f>ПТО!A4</f>
        <v>Замена прибора учета электрической энергии.</v>
      </c>
      <c r="B45" s="139"/>
      <c r="C45" s="139"/>
      <c r="D45" s="139"/>
      <c r="E45" s="139"/>
      <c r="F45" s="144">
        <f>VLOOKUP(A45,ПТО!$A$2:$D$31,4,FALSE)</f>
        <v>7209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56"/>
      <c r="M45" s="118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hidden="1" customHeight="1" outlineLevel="1">
      <c r="A46" s="139">
        <f>ПТО!A5</f>
        <v>0</v>
      </c>
      <c r="B46" s="139"/>
      <c r="C46" s="139"/>
      <c r="D46" s="139"/>
      <c r="E46" s="139"/>
      <c r="F46" s="144" t="e">
        <f>VLOOKUP(A46,ПТО!$A$2:$D$31,4,FALSE)</f>
        <v>#N/A</v>
      </c>
      <c r="G46" s="144"/>
      <c r="H46" s="25" t="e">
        <f>VLOOKUP(A46,ПТО!$A$2:$D$31,2,FALSE)</f>
        <v>#N/A</v>
      </c>
      <c r="I46" s="140" t="e">
        <f>VLOOKUP(A46,ПТО!$A$2:$D$31,3,FALSE)</f>
        <v>#N/A</v>
      </c>
      <c r="J46" s="140"/>
      <c r="K46" s="112"/>
      <c r="L46" s="156"/>
      <c r="M46" s="118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39">
        <f>ПТО!A6</f>
        <v>0</v>
      </c>
      <c r="B47" s="139"/>
      <c r="C47" s="139"/>
      <c r="D47" s="139"/>
      <c r="E47" s="139"/>
      <c r="F47" s="144" t="e">
        <f>VLOOKUP(A47,ПТО!$A$2:$D$31,4,FALSE)</f>
        <v>#N/A</v>
      </c>
      <c r="G47" s="144"/>
      <c r="H47" s="25" t="e">
        <f>VLOOKUP(A47,ПТО!$A$2:$D$31,2,FALSE)</f>
        <v>#N/A</v>
      </c>
      <c r="I47" s="140" t="e">
        <f>VLOOKUP(A47,ПТО!$A$2:$D$31,3,FALSE)</f>
        <v>#N/A</v>
      </c>
      <c r="J47" s="140"/>
      <c r="K47" s="112"/>
      <c r="L47" s="156"/>
      <c r="M47" s="118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56"/>
      <c r="M48" s="118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56"/>
      <c r="M49" s="118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56"/>
      <c r="M50" s="118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56"/>
      <c r="M51" s="118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56"/>
      <c r="M52" s="118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56"/>
      <c r="M53" s="118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56"/>
      <c r="M54" s="118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56"/>
      <c r="M55" s="118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56"/>
      <c r="M56" s="118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56"/>
      <c r="M57" s="118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56"/>
      <c r="M58" s="118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56"/>
      <c r="M59" s="118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56"/>
      <c r="M60" s="118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56"/>
      <c r="M61" s="118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56"/>
      <c r="M62" s="118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56"/>
      <c r="M63" s="118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56"/>
      <c r="M64" s="118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56"/>
      <c r="M65" s="118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56"/>
      <c r="M66" s="118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56"/>
      <c r="M67" s="118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56"/>
      <c r="M68" s="118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56"/>
      <c r="M69" s="118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56"/>
      <c r="M70" s="118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8"/>
      <c r="L71" s="15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56"/>
      <c r="M72" s="118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7" t="s">
        <v>27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2"/>
      <c r="L75" s="159"/>
      <c r="M75" s="112"/>
      <c r="N75" s="112"/>
      <c r="O75" s="72" t="s">
        <v>98</v>
      </c>
    </row>
    <row r="76" spans="1:16384" ht="18.75" customHeight="1" outlineLevel="1">
      <c r="A76" s="157" t="s">
        <v>28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2"/>
      <c r="L76" s="159"/>
      <c r="M76" s="112"/>
      <c r="N76" s="112"/>
      <c r="O76" s="72" t="s">
        <v>99</v>
      </c>
    </row>
    <row r="77" spans="1:16384" ht="21.75" customHeight="1" outlineLevel="1">
      <c r="A77" s="157" t="s">
        <v>29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2"/>
      <c r="L77" s="159"/>
      <c r="M77" s="112"/>
      <c r="N77" s="112"/>
      <c r="O77" s="72" t="s">
        <v>100</v>
      </c>
    </row>
    <row r="78" spans="1:16384" ht="18.75" customHeight="1" outlineLevel="1">
      <c r="A78" s="157" t="s">
        <v>30</v>
      </c>
      <c r="B78" s="157"/>
      <c r="C78" s="157"/>
      <c r="D78" s="157"/>
      <c r="E78" s="157"/>
      <c r="F78" s="157"/>
      <c r="G78" s="157"/>
      <c r="H78" s="157"/>
      <c r="I78" s="157"/>
      <c r="J78" s="99">
        <f>VLOOKUP(O78,АО,3,FALSE)</f>
        <v>0</v>
      </c>
      <c r="K78" s="112"/>
      <c r="L78" s="159"/>
      <c r="M78" s="112"/>
      <c r="N78" s="112"/>
      <c r="O78" s="72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45"/>
      <c r="M81" s="112"/>
      <c r="N81" s="112"/>
      <c r="O81" s="72" t="s">
        <v>102</v>
      </c>
    </row>
    <row r="82" spans="1:15" outlineLevel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45"/>
      <c r="M82" s="112"/>
      <c r="N82" s="112"/>
      <c r="O82" s="72" t="s">
        <v>103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67967.67</v>
      </c>
      <c r="K83" s="112"/>
      <c r="L83" s="145"/>
      <c r="M83" s="112"/>
      <c r="N83" s="112"/>
      <c r="O83" s="72" t="s">
        <v>104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45"/>
      <c r="M84" s="112"/>
      <c r="N84" s="112"/>
      <c r="O84" s="72" t="s">
        <v>105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45"/>
      <c r="M85" s="112"/>
      <c r="N85" s="112"/>
      <c r="O85" s="72" t="s">
        <v>106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107840.01</v>
      </c>
      <c r="K86" s="112"/>
      <c r="L86" s="145"/>
      <c r="M86" s="112"/>
      <c r="N86" s="112"/>
      <c r="O86" s="72" t="s">
        <v>107</v>
      </c>
    </row>
    <row r="87" spans="1:15" ht="18.75" customHeight="1" outlineLevel="1">
      <c r="A87" s="151" t="s">
        <v>27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45"/>
      <c r="M87" s="112"/>
      <c r="N87" s="112"/>
      <c r="O87" s="72" t="s">
        <v>108</v>
      </c>
    </row>
    <row r="88" spans="1:15" ht="18.75" customHeight="1" outlineLevel="1">
      <c r="A88" s="151" t="s">
        <v>28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45"/>
      <c r="M88" s="112"/>
      <c r="N88" s="112"/>
      <c r="O88" s="72" t="s">
        <v>109</v>
      </c>
    </row>
    <row r="89" spans="1:15" ht="18.75" customHeight="1" outlineLevel="1">
      <c r="A89" s="151" t="s">
        <v>29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45"/>
      <c r="M89" s="112"/>
      <c r="N89" s="112"/>
      <c r="O89" s="72" t="s">
        <v>110</v>
      </c>
    </row>
    <row r="90" spans="1:15" ht="18.75" customHeight="1" outlineLevel="1">
      <c r="A90" s="151" t="s">
        <v>30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45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0" t="s">
        <v>48</v>
      </c>
      <c r="B93" s="160"/>
      <c r="C93" s="160"/>
      <c r="D93" s="161" t="s">
        <v>49</v>
      </c>
      <c r="E93" s="161"/>
      <c r="F93" s="10" t="s">
        <v>50</v>
      </c>
      <c r="G93" s="160" t="s">
        <v>51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93307.76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81848.912280701756</v>
      </c>
      <c r="L95" s="146"/>
      <c r="O95" s="1" t="s">
        <v>112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72222.710000000006</v>
      </c>
      <c r="L96" s="146"/>
      <c r="O96" s="1" t="s">
        <v>113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21085.049999999988</v>
      </c>
      <c r="L97" s="146"/>
      <c r="O97" s="1" t="s">
        <v>114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93307.76</v>
      </c>
      <c r="L98" s="146"/>
      <c r="O98" s="1" t="s">
        <v>115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93307.76</v>
      </c>
      <c r="L99" s="146"/>
      <c r="O99" s="1" t="s">
        <v>116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117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118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47566.510000000009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3515.6326681448641</v>
      </c>
      <c r="L103" s="146"/>
      <c r="O103" s="1" t="s">
        <v>121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38835.69</v>
      </c>
      <c r="L104" s="146"/>
      <c r="O104" s="1" t="s">
        <v>122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8730.820000000007</v>
      </c>
      <c r="L105" s="146"/>
      <c r="O105" s="1" t="s">
        <v>123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47566.510000000009</v>
      </c>
      <c r="L106" s="146"/>
      <c r="O106" s="1" t="s">
        <v>124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47566.510000000009</v>
      </c>
      <c r="L107" s="146"/>
      <c r="O107" s="1" t="s">
        <v>125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126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127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54818.179999999993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3552.7012313674654</v>
      </c>
      <c r="L111" s="146"/>
      <c r="O111" s="1" t="s">
        <v>129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43573.459999999992</v>
      </c>
      <c r="L112" s="146"/>
      <c r="O112" s="1" t="s">
        <v>130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11244.720000000001</v>
      </c>
      <c r="L113" s="146"/>
      <c r="O113" s="1" t="s">
        <v>131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54818.179999999993</v>
      </c>
      <c r="L114" s="146"/>
      <c r="O114" s="1" t="s">
        <v>132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54818.179999999993</v>
      </c>
      <c r="L115" s="146"/>
      <c r="O115" s="1" t="s">
        <v>133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134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135</v>
      </c>
    </row>
    <row r="118" spans="1:15" ht="32.25" hidden="1" customHeight="1" outlineLevel="1">
      <c r="A118" s="141">
        <f>IF(VLOOKUP("тко",АО,3,FALSE)&gt;0,"Обращение с ТКО",0)</f>
        <v>0</v>
      </c>
      <c r="B118" s="141"/>
      <c r="C118" s="141"/>
      <c r="D118" s="142">
        <f>IF(VLOOKUP("тко",АО,3,FALSE)&gt;0,VLOOKUP("тко",АО,3,FALSE),0)</f>
        <v>0</v>
      </c>
      <c r="E118" s="142"/>
      <c r="F118" s="13">
        <f>IF(VLOOKUP("тко",АО,3,FALSE)&gt;0,VLOOKUP("тко",АО,4,FALSE),0)</f>
        <v>0</v>
      </c>
      <c r="G118" s="143">
        <f>VLOOKUP("тко",АО,5,FALSE)</f>
        <v>0</v>
      </c>
      <c r="H118" s="142"/>
      <c r="I118" s="142"/>
      <c r="J118" s="142"/>
      <c r="L118" s="49"/>
    </row>
    <row r="119" spans="1:15" ht="32.25" hidden="1" customHeight="1" outlineLevel="2">
      <c r="A119" s="137">
        <f t="shared" ref="A119:A125" si="8">IF(VLOOKUP("тко",АО,3,FALSE)&gt;0,VLOOKUP(O119,АО,2,FALSE),0)</f>
        <v>0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37">
        <f t="shared" si="8"/>
        <v>0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37">
        <f t="shared" si="8"/>
        <v>0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37">
        <f t="shared" si="8"/>
        <v>0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37">
        <f t="shared" si="8"/>
        <v>0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37">
        <f t="shared" si="8"/>
        <v>0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37">
        <f t="shared" si="8"/>
        <v>0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1">
        <f>IF(VLOOKUP("гвс",АО,3,FALSE)&gt;0,"Горячее водоснабжение",0)</f>
        <v>0</v>
      </c>
      <c r="B126" s="141"/>
      <c r="C126" s="141"/>
      <c r="D126" s="142">
        <f>IF(VLOOKUP("гвс",АО,3,FALSE)&gt;0,VLOOKUP("гвс",АО,3,FALSE),0)</f>
        <v>0</v>
      </c>
      <c r="E126" s="142"/>
      <c r="F126" s="13">
        <f>IF(VLOOKUP("гвс",АО,3,FALSE)&gt;0,VLOOKUP("гвс",АО,4,FALSE),0)</f>
        <v>0</v>
      </c>
      <c r="G126" s="143">
        <f>VLOOKUP("гвс",АО,5,FALSE)</f>
        <v>0</v>
      </c>
      <c r="H126" s="142"/>
      <c r="I126" s="142"/>
      <c r="J126" s="142"/>
      <c r="L126" s="49"/>
    </row>
    <row r="127" spans="1:15" ht="32.25" hidden="1" customHeight="1" outlineLevel="2">
      <c r="A127" s="137">
        <f t="shared" ref="A127:A133" si="10">IF(VLOOKUP("гвс",АО,3,FALSE)&gt;0,VLOOKUP(O127,АО,2,FALSE),0)</f>
        <v>0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37">
        <f t="shared" si="10"/>
        <v>0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37">
        <f t="shared" si="10"/>
        <v>0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37">
        <f t="shared" si="10"/>
        <v>0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37">
        <f t="shared" si="10"/>
        <v>0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37">
        <f t="shared" si="10"/>
        <v>0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37">
        <f t="shared" si="10"/>
        <v>0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37" t="s">
        <v>45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1</v>
      </c>
      <c r="O144" t="s">
        <v>169</v>
      </c>
    </row>
    <row r="145" spans="1:15" ht="18.75" customHeight="1" outlineLevel="1">
      <c r="A145" s="137" t="s">
        <v>46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37" t="s">
        <v>172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1907.71</v>
      </c>
      <c r="O146" t="s">
        <v>171</v>
      </c>
    </row>
    <row r="149" spans="1:15" ht="52.5" customHeight="1">
      <c r="A149" s="162" t="s">
        <v>182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4" t="s">
        <v>183</v>
      </c>
      <c r="B154" s="164"/>
      <c r="C154" s="164"/>
      <c r="D154" s="164"/>
      <c r="E154" s="27">
        <f>ПТО!G1</f>
        <v>-96386.79</v>
      </c>
    </row>
    <row r="155" spans="1:15" ht="34.5" customHeight="1">
      <c r="A155" s="163" t="s">
        <v>185</v>
      </c>
      <c r="B155" s="163"/>
      <c r="C155" s="163"/>
      <c r="D155" s="163"/>
      <c r="E155" s="28">
        <f>J13</f>
        <v>71586.84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57</v>
      </c>
      <c r="I157" s="147" t="s">
        <v>21</v>
      </c>
      <c r="J157" s="147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4929.12</v>
      </c>
      <c r="G158" s="144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Приобретение и установка таблички по пожарной безопасности.</v>
      </c>
      <c r="B159" s="139"/>
      <c r="C159" s="139"/>
      <c r="D159" s="139"/>
      <c r="E159" s="139"/>
      <c r="F159" s="144">
        <f t="shared" si="15"/>
        <v>250</v>
      </c>
      <c r="G159" s="144"/>
      <c r="H159" s="24" t="str">
        <f t="shared" si="16"/>
        <v>разово</v>
      </c>
      <c r="I159" s="140">
        <f t="shared" si="17"/>
        <v>1</v>
      </c>
      <c r="J159" s="140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39" t="str">
        <f t="shared" si="14"/>
        <v>Замена прибора учета электрической энергии.</v>
      </c>
      <c r="B160" s="139"/>
      <c r="C160" s="139"/>
      <c r="D160" s="139"/>
      <c r="E160" s="139"/>
      <c r="F160" s="144">
        <f t="shared" si="15"/>
        <v>7209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72</v>
      </c>
      <c r="N160" s="1" t="str">
        <v>Замена прибора учета электрической энергии.</v>
      </c>
    </row>
    <row r="161" spans="1:14" ht="28.5" hidden="1" customHeight="1">
      <c r="A161" s="139">
        <f>IF(N161&gt;0,N161,0)</f>
        <v>0</v>
      </c>
      <c r="B161" s="139"/>
      <c r="C161" s="139"/>
      <c r="D161" s="139"/>
      <c r="E161" s="139"/>
      <c r="F161" s="144">
        <f t="shared" si="15"/>
        <v>0</v>
      </c>
      <c r="G161" s="144"/>
      <c r="H161" s="24" t="e">
        <f t="shared" si="16"/>
        <v>#N/A</v>
      </c>
      <c r="I161" s="140" t="e">
        <f t="shared" si="17"/>
        <v>#N/A</v>
      </c>
      <c r="J161" s="140"/>
      <c r="M161" s="22" t="s">
        <v>72</v>
      </c>
      <c r="N161" s="1">
        <v>0</v>
      </c>
    </row>
    <row r="162" spans="1:14" ht="28.5" hidden="1" customHeight="1">
      <c r="A162" s="139">
        <f t="shared" si="14"/>
        <v>0</v>
      </c>
      <c r="B162" s="139"/>
      <c r="C162" s="139"/>
      <c r="D162" s="139"/>
      <c r="E162" s="139"/>
      <c r="F162" s="144">
        <f t="shared" si="15"/>
        <v>0</v>
      </c>
      <c r="G162" s="144"/>
      <c r="H162" s="24" t="e">
        <f t="shared" si="16"/>
        <v>#N/A</v>
      </c>
      <c r="I162" s="140" t="e">
        <f>VLOOKUP(A162,$A$28:$J$72,9,FALSE)</f>
        <v>#N/A</v>
      </c>
      <c r="J162" s="140"/>
      <c r="M162" s="22" t="s">
        <v>72</v>
      </c>
      <c r="N162" s="1">
        <v>0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4">
        <f t="shared" si="15"/>
        <v>0</v>
      </c>
      <c r="G163" s="144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72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72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72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72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72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72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72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72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72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72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72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72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72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72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72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72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72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72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72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72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72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72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72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72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64" t="s">
        <v>186</v>
      </c>
      <c r="B190" s="164"/>
      <c r="C190" s="164"/>
      <c r="D190" s="164"/>
      <c r="E190" s="27">
        <f>SUM(F158:G187)</f>
        <v>12388.119999999999</v>
      </c>
    </row>
    <row r="191" spans="1:14" ht="51.75" customHeight="1">
      <c r="A191" s="164" t="s">
        <v>187</v>
      </c>
      <c r="B191" s="164"/>
      <c r="C191" s="164"/>
      <c r="D191" s="164"/>
      <c r="E191" s="27">
        <f>E190+E154-E155</f>
        <v>-155585.51</v>
      </c>
    </row>
    <row r="192" spans="1:14">
      <c r="A192" s="107" t="s">
        <v>173</v>
      </c>
    </row>
    <row r="193" spans="1:10" ht="62.25" customHeight="1">
      <c r="A193" s="138" t="s">
        <v>184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1">
        <f>ПТО!G12</f>
        <v>1200</v>
      </c>
      <c r="I194" s="52" t="s">
        <v>74</v>
      </c>
    </row>
    <row r="195" spans="1:10" ht="18.75" customHeight="1">
      <c r="A195" s="136" t="str">
        <f>ПТО!F13</f>
        <v xml:space="preserve">  -  техническое обслуживание охранной сигнализации</v>
      </c>
      <c r="B195" s="136"/>
      <c r="C195" s="136"/>
      <c r="D195" s="136"/>
      <c r="E195" s="136"/>
      <c r="F195" s="136"/>
      <c r="G195" s="136"/>
      <c r="H195" s="51">
        <f>ПТО!G13</f>
        <v>5000</v>
      </c>
      <c r="I195" s="52" t="s">
        <v>74</v>
      </c>
    </row>
    <row r="196" spans="1:10" ht="18.75" customHeight="1">
      <c r="A196" s="136" t="str">
        <f>ПТО!F14</f>
        <v xml:space="preserve">  -  ремонт подъезда</v>
      </c>
      <c r="B196" s="136"/>
      <c r="C196" s="136"/>
      <c r="D196" s="136"/>
      <c r="E196" s="136"/>
      <c r="F196" s="136"/>
      <c r="G196" s="136"/>
      <c r="H196" s="51">
        <f>ПТО!G14</f>
        <v>170000</v>
      </c>
      <c r="I196" s="52" t="s">
        <v>74</v>
      </c>
    </row>
    <row r="197" spans="1:10" ht="18.75" customHeight="1">
      <c r="A197" s="136" t="str">
        <f>ПТО!F15</f>
        <v xml:space="preserve">  -  замена светильников в подъезде</v>
      </c>
      <c r="B197" s="136"/>
      <c r="C197" s="136"/>
      <c r="D197" s="136"/>
      <c r="E197" s="136"/>
      <c r="F197" s="136"/>
      <c r="G197" s="136"/>
      <c r="H197" s="51">
        <f>ПТО!G15</f>
        <v>40000</v>
      </c>
      <c r="I197" s="52" t="s">
        <v>74</v>
      </c>
    </row>
    <row r="198" spans="1:10" ht="18.75" customHeight="1">
      <c r="A198" s="136" t="str">
        <f>ПТО!F16</f>
        <v xml:space="preserve">  - установка системы видеонаблюдения</v>
      </c>
      <c r="B198" s="136"/>
      <c r="C198" s="136"/>
      <c r="D198" s="136"/>
      <c r="E198" s="136"/>
      <c r="F198" s="136"/>
      <c r="G198" s="136"/>
      <c r="H198" s="51">
        <f>ПТО!G16</f>
        <v>40000</v>
      </c>
      <c r="I198" s="54" t="s">
        <v>74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51">
        <f>ПТО!G17</f>
        <v>0</v>
      </c>
      <c r="I199" s="52" t="s">
        <v>74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1">
        <f>ПТО!G18</f>
        <v>0</v>
      </c>
      <c r="I200" s="52" t="s">
        <v>74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1">
        <f>ПТО!G19</f>
        <v>0</v>
      </c>
      <c r="I201" s="52" t="s">
        <v>74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1">
        <f>ПТО!G20</f>
        <v>0</v>
      </c>
      <c r="I202" s="52" t="s">
        <v>74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1">
        <f>ПТО!G21</f>
        <v>0</v>
      </c>
      <c r="I203" s="52" t="s">
        <v>74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1">
        <f>ПТО!G22</f>
        <v>0</v>
      </c>
      <c r="I204" s="52" t="s">
        <v>74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1">
        <f>ПТО!G23</f>
        <v>0</v>
      </c>
      <c r="I205" s="52" t="s">
        <v>74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1">
        <f>ПТО!G24</f>
        <v>0</v>
      </c>
      <c r="I206" s="52" t="s">
        <v>74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1">
        <f>ПТО!G25</f>
        <v>0</v>
      </c>
      <c r="I207" s="52" t="s">
        <v>74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1">
        <f>ПТО!G26</f>
        <v>0</v>
      </c>
      <c r="I208" s="52" t="s">
        <v>74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1">
        <f>ПТО!G27</f>
        <v>0</v>
      </c>
      <c r="I209" s="52" t="s">
        <v>74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1">
        <f>ПТО!G28</f>
        <v>0</v>
      </c>
      <c r="I210" s="52" t="s">
        <v>74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1">
        <f>ПТО!G29</f>
        <v>0</v>
      </c>
      <c r="I211" s="52" t="s">
        <v>74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1">
        <f>ПТО!G30</f>
        <v>0</v>
      </c>
      <c r="I212" s="52" t="s">
        <v>74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256200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183</v>
      </c>
      <c r="G1" s="104">
        <f>-96386.79</f>
        <v>-96386.79</v>
      </c>
    </row>
    <row r="2" spans="1:12" ht="18.75" customHeight="1">
      <c r="A2" s="123" t="s">
        <v>179</v>
      </c>
      <c r="B2" s="121" t="s">
        <v>176</v>
      </c>
      <c r="C2" s="122">
        <v>12</v>
      </c>
      <c r="D2" s="120">
        <v>4929.12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188</v>
      </c>
      <c r="B3" s="127" t="s">
        <v>189</v>
      </c>
      <c r="C3" s="128">
        <v>1</v>
      </c>
      <c r="D3" s="129">
        <v>250</v>
      </c>
      <c r="E3" s="130" t="s">
        <v>190</v>
      </c>
      <c r="F3" s="30"/>
      <c r="G3" s="30"/>
      <c r="L3" s="33" t="str">
        <f t="shared" si="0"/>
        <v>ТР</v>
      </c>
    </row>
    <row r="4" spans="1:12" ht="18.75" customHeight="1">
      <c r="A4" s="131" t="s">
        <v>191</v>
      </c>
      <c r="B4" s="132" t="s">
        <v>189</v>
      </c>
      <c r="C4" s="133">
        <v>1</v>
      </c>
      <c r="D4" s="134">
        <v>7209</v>
      </c>
      <c r="E4" s="135" t="s">
        <v>192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184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178</v>
      </c>
      <c r="G13" s="116">
        <v>5000</v>
      </c>
      <c r="L13" s="33">
        <f t="shared" si="0"/>
        <v>0</v>
      </c>
    </row>
    <row r="14" spans="1:12" ht="15.75">
      <c r="A14" s="30"/>
      <c r="F14" s="124" t="s">
        <v>180</v>
      </c>
      <c r="G14" s="125">
        <v>170000</v>
      </c>
      <c r="L14" s="33">
        <f t="shared" si="0"/>
        <v>0</v>
      </c>
    </row>
    <row r="15" spans="1:12" ht="15.75">
      <c r="A15" s="30"/>
      <c r="F15" s="124" t="s">
        <v>181</v>
      </c>
      <c r="G15" s="125">
        <v>40000</v>
      </c>
      <c r="L15" s="33">
        <f t="shared" si="0"/>
        <v>0</v>
      </c>
    </row>
    <row r="16" spans="1:12" ht="15.75">
      <c r="A16" s="30"/>
      <c r="F16" s="124" t="s">
        <v>193</v>
      </c>
      <c r="G16" s="125">
        <v>40000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19702.800000000003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19702.800000000003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52409.399999999994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52409.399999999994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31130.399999999998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31130.399999999998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15762.24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15762.24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6304.92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6304.92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30736.32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30736.32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wItLJqII3xCjPSO/v2RbIbtdITiQwunNn+Vcft71Mg0cu9qP3o0Z3dX1cHcqV5sP6Zr4hltR43rsF68EwrSRkQ==" saltValue="NBFSFkijNnr0uJkznnAi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1094.5999999999999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98683.930000000022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233421.77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161834.93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71586.84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219041.12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219041.12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219041.12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113064.58000000002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104</v>
      </c>
      <c r="B27" s="77" t="s">
        <v>4</v>
      </c>
      <c r="C27" s="88">
        <v>67967.67</v>
      </c>
      <c r="D27" s="83" t="s">
        <v>60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107</v>
      </c>
      <c r="B30" s="77" t="s">
        <v>18</v>
      </c>
      <c r="C30" s="88">
        <v>107840.01</v>
      </c>
      <c r="D30" s="83" t="s">
        <v>66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93307.76</v>
      </c>
      <c r="F37" s="96" t="s">
        <v>166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81848.912280701756</v>
      </c>
      <c r="D38" s="96" t="s">
        <v>164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72222.710000000006</v>
      </c>
      <c r="D39" s="96" t="s">
        <v>165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21085.049999999988</v>
      </c>
      <c r="D40" s="82" t="s">
        <v>59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93307.76</v>
      </c>
      <c r="D41" s="82" t="s">
        <v>59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93307.76</v>
      </c>
      <c r="D42" s="82" t="s">
        <v>59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47566.510000000009</v>
      </c>
      <c r="F45" s="96" t="s">
        <v>166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3515.6326681448641</v>
      </c>
      <c r="D46" s="96" t="s">
        <v>167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38835.69</v>
      </c>
      <c r="D47" s="96" t="s">
        <v>165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8730.820000000007</v>
      </c>
      <c r="D48" s="82" t="s">
        <v>59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47566.510000000009</v>
      </c>
      <c r="D49" s="82" t="s">
        <v>59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47566.510000000009</v>
      </c>
      <c r="D50" s="82" t="s">
        <v>59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54818.179999999993</v>
      </c>
      <c r="F53" s="96" t="s">
        <v>166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3552.7012313674654</v>
      </c>
      <c r="D54" s="96" t="s">
        <v>167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43573.459999999992</v>
      </c>
      <c r="D55" s="96" t="s">
        <v>165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11244.720000000001</v>
      </c>
      <c r="D56" s="82" t="s">
        <v>59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54818.179999999993</v>
      </c>
      <c r="D57" s="82" t="s">
        <v>59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54818.179999999993</v>
      </c>
      <c r="D58" s="82" t="s">
        <v>59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1907.71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2021-03-26T07:51:19Z</dcterms:modified>
</cp:coreProperties>
</file>