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101" i="1" s="1"/>
  <c r="C45" i="3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3" i="1"/>
  <c r="G110" i="1"/>
  <c r="J109" i="1"/>
  <c r="J104" i="1"/>
  <c r="J103" i="1"/>
  <c r="A109" i="1"/>
  <c r="A108" i="1"/>
  <c r="A107" i="1"/>
  <c r="A106" i="1"/>
  <c r="A105" i="1"/>
  <c r="A104" i="1"/>
  <c r="A103" i="1"/>
  <c r="G102" i="1"/>
  <c r="F102" i="1"/>
  <c r="D102" i="1"/>
  <c r="A102" i="1"/>
  <c r="J101" i="1"/>
  <c r="J96" i="1"/>
  <c r="J95" i="1"/>
  <c r="A100" i="1"/>
  <c r="A99" i="1"/>
  <c r="A98" i="1"/>
  <c r="A96" i="1"/>
  <c r="A95" i="1"/>
  <c r="G94" i="1"/>
  <c r="D94" i="1"/>
  <c r="A94" i="1"/>
  <c r="K94" i="1"/>
  <c r="A114" i="1" l="1"/>
  <c r="F110" i="1"/>
  <c r="A117" i="1"/>
  <c r="F94" i="1"/>
  <c r="A97" i="1"/>
  <c r="A119" i="1"/>
  <c r="A123" i="1"/>
  <c r="A118" i="1"/>
  <c r="D118" i="1"/>
  <c r="A120" i="1"/>
  <c r="A124" i="1"/>
  <c r="A110" i="1"/>
  <c r="A111" i="1"/>
  <c r="A115" i="1"/>
  <c r="F118" i="1"/>
  <c r="A121" i="1"/>
  <c r="A125" i="1"/>
  <c r="D110" i="1"/>
  <c r="A112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<sst xmlns="http://schemas.openxmlformats.org/spreadsheetml/2006/main" count="554" uniqueCount="203">
  <si>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</si>
  <si>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</si>
  <si>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</si>
  <si>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</si>
  <si>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</si>
  <si>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</si>
  <si>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</si>
  <si>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</si>
  <si>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</si>
  <si>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</si>
  <si>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</si>
  <si>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</si>
  <si>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</si>
  <si>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</si>
  <si>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</si>
  <si>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</si>
  <si>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</si>
  <si>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</si>
  <si>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</si>
  <si>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</si>
  <si>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</si>
  <si>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</si>
  <si>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</si>
  <si>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</si>
  <si>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</si>
  <si>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</si>
  <si>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</si>
  <si>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</si>
  <si>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</si>
  <si>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</si>
  <si>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</si>
  <si>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</si>
  <si>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</si>
  <si>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</si>
  <si>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</si>
  <si>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</si>
  <si>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</si>
  <si>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</si>
  <si>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</si>
  <si>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</si>
  <si>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</si>
  <si>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</si>
  <si>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</si>
  <si>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</si>
  <si>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</si>
  <si>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</si>
  <si>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</si>
  <si>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</si>
  <si>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</si>
  <si>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</si>
  <si>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</si>
  <si>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</si>
  <si>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</si>
  <si>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</si>
  <si>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</si>
  <si>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</si>
  <si>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</si>
  <si>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</si>
  <si>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</si>
  <si>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</si>
  <si>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</si>
  <si>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</si>
  <si>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</si>
  <si>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</si>
  <si>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</si>
  <si>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</si>
  <si>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</si>
  <si>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</si>
  <si>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</si>
  <si>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</si>
  <si>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</si>
  <si>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</si>
  <si>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</si>
  <si>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</si>
  <si>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</si>
  <si>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</si>
  <si>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</si>
  <si>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</si>
  <si>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</si>
  <si>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</si>
  <si>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</si>
  <si>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</si>
  <si>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</si>
  <si>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</si>
  <si>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</si>
  <si>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</si>
  <si>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</si>
  <si>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</si>
  <si>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</si>
  <si>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</si>
  <si>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</si>
  <si>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</si>
  <si>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</si>
  <si>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</si>
  <si>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</si>
  <si>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</si>
  <si>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</si>
  <si>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</si>
  <si>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</si>
  <si>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</si>
  <si>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</si>
  <si>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</si>
  <si>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</si>
  <si>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</si>
  <si>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</si>
  <si>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</si>
  <si>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</si>
  <si>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</si>
  <si>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</si>
  <si>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</si>
  <si>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</si>
  <si>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</si>
  <si>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</si>
  <si>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</si>
  <si>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</si>
  <si>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</si>
  <si>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</si>
  <si>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</si>
  <si>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</si>
  <si>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</si>
  <si>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</si>
  <si>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</si>
  <si>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</si>
  <si>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</si>
  <si>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</si>
  <si>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</si>
  <si>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</si>
  <si>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</si>
  <si>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</si>
  <si>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</si>
  <si>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</si>
  <si>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</si>
  <si>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</si>
  <si>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</si>
  <si>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</si>
  <si>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</si>
  <si>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</si>
  <si>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</si>
  <si>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</si>
  <si>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</si>
  <si>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</si>
  <si>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</si>
  <si>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</si>
  <si>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</si>
  <si>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</si>
  <si>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</si>
  <si>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</si>
  <si>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</si>
  <si>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</si>
  <si>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</si>
  <si>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</si>
  <si>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</si>
  <si>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</si>
  <si>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</si>
  <si>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</si>
  <si>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</si>
  <si>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</si>
  <si>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</si>
  <si>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</si>
  <si>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</si>
  <si>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</si>
  <si>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</si>
  <si>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</si>
  <si>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</si>
  <si>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</si>
  <si>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</si>
  <si>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</si>
  <si>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</si>
  <si>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</si>
  <si>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</si>
  <si>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</si>
  <si>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</si>
  <si>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</si>
  <si>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</si>
  <si>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75</t>
  </si>
  <si>
    <t>ежемесячно</t>
  </si>
  <si>
    <t>площадь дома</t>
  </si>
  <si>
    <t>Отчет об исполнении договора управления многоквартирного дома 
Березовый, 75 в части текущего ремонта</t>
  </si>
  <si>
    <t xml:space="preserve">  -  техническое обслуживание охранной сигнализации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</si>
  <si>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</si>
  <si>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</si>
  <si>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</si>
  <si>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</si>
  <si>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Начислено за  текущий ремонт в 2020 году (руб.):</t>
  </si>
  <si>
    <t>Техническое обслуживание охранной сигнализации.</t>
  </si>
  <si>
    <t>Приобретение и установка ОДПУ ХВС.</t>
  </si>
  <si>
    <t>разово</t>
  </si>
  <si>
    <t>АВР 1/20 от 28.01.2020, Решение</t>
  </si>
  <si>
    <t>Ремонт блока управления откатных ворот.</t>
  </si>
  <si>
    <t>на осн. Протокола №1-1 от 15.10.19, Приказ №5 от 14.01.2020</t>
  </si>
  <si>
    <t>Приобретение и установка таблички по пожарной безопасности.</t>
  </si>
  <si>
    <t>АВР 2/20 от 05.03.2020, счет от 12.03.2020</t>
  </si>
  <si>
    <t>АВР 3/20 от 10.04.2020, Решение, счет №1420 от 10.03.2020</t>
  </si>
  <si>
    <t>Замена прибора учета электрической энергии.</t>
  </si>
  <si>
    <t>АВР 4/20 от 19.05.2020</t>
  </si>
  <si>
    <t>Ремонт подъезда.</t>
  </si>
  <si>
    <t>Монтаж системы видеонаблюдения.</t>
  </si>
  <si>
    <t>АВР 5/20 от 17.09.20, Решение, счет №56 от 17.08.2020</t>
  </si>
  <si>
    <t>АВР 6/20 от 07.10.2020, Решение, калькуляция, счет №17201 от 28.07.2020</t>
  </si>
  <si>
    <t>АВР 7/20 от 07.12.2020, счет №29 от 05.02.2020</t>
  </si>
  <si>
    <t>Работы и услуги по управлению МКД</t>
  </si>
  <si>
    <t xml:space="preserve">  -  установка газонного ограждения</t>
  </si>
  <si>
    <t>Изготовление баннера на откатные ворота.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</si>
</sst>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3" fillId="0" borderId="0"/>
  </cellStyleXfs>
  <cellXfs count="178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10" fillId="0" borderId="0" xfId="5" applyFill="1" applyBorder="1" applyAlignment="1">
      <alignment horizontal="center"/>
    </xf>
    <xf numFmtId="0" fontId="10" fillId="0" borderId="0" xfId="5" applyFill="1" applyBorder="1" applyAlignment="1"/>
    <xf numFmtId="0" fontId="10" fillId="0" borderId="0" xfId="5" applyFill="1" applyBorder="1" applyAlignment="1">
      <alignment horizontal="center" vertical="center"/>
    </xf>
    <xf numFmtId="4" fontId="10" fillId="0" borderId="0" xfId="5" applyNumberFormat="1" applyBorder="1" applyAlignment="1"/>
    <xf numFmtId="4" fontId="10" fillId="0" borderId="0" xfId="5" applyNumberFormat="1" applyFill="1" applyBorder="1" applyAlignment="1"/>
    <xf numFmtId="4" fontId="14" fillId="0" borderId="5" xfId="0" applyNumberFormat="1" applyFont="1" applyBorder="1" applyAlignment="1">
      <alignment horizontal="center" vertical="center" wrapText="1"/>
    </xf>
    <xf numFmtId="0" fontId="9" fillId="0" borderId="0" xfId="5" applyFont="1" applyFill="1" applyBorder="1" applyAlignment="1"/>
    <xf numFmtId="0" fontId="8" fillId="0" borderId="0" xfId="5" applyFont="1" applyFill="1" applyBorder="1" applyAlignment="1"/>
    <xf numFmtId="0" fontId="8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16" fillId="6" borderId="0" xfId="0" applyFont="1" applyFill="1" applyBorder="1" applyAlignment="1" applyProtection="1">
      <alignment wrapText="1"/>
      <protection locked="0"/>
    </xf>
    <xf numFmtId="0" fontId="16" fillId="4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4" applyFont="1" applyFill="1" applyBorder="1" applyAlignment="1">
      <alignment horizontal="center"/>
    </xf>
    <xf numFmtId="0" fontId="0" fillId="0" borderId="0" xfId="0" applyFill="1"/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3" fillId="0" borderId="0" xfId="6" applyFont="1" applyFill="1" applyBorder="1" applyAlignment="1"/>
    <xf numFmtId="0" fontId="3" fillId="0" borderId="0" xfId="6" applyFont="1" applyFill="1" applyBorder="1" applyAlignment="1">
      <alignment horizontal="center"/>
    </xf>
    <xf numFmtId="0" fontId="3" fillId="0" borderId="0" xfId="6" applyFill="1" applyBorder="1" applyAlignment="1">
      <alignment horizontal="center"/>
    </xf>
    <xf numFmtId="4" fontId="3" fillId="0" borderId="0" xfId="6" applyNumberFormat="1" applyFill="1" applyBorder="1" applyAlignment="1"/>
    <xf numFmtId="0" fontId="2" fillId="0" borderId="0" xfId="4" applyFont="1" applyFill="1" applyBorder="1" applyAlignment="1">
      <alignment horizontal="center"/>
    </xf>
    <xf numFmtId="0" fontId="1" fillId="0" borderId="0" xfId="6" applyFont="1" applyFill="1" applyBorder="1" applyAlignment="1"/>
    <xf numFmtId="0" fontId="6" fillId="0" borderId="0" xfId="4" applyFont="1" applyFill="1" applyBorder="1" applyAlignment="1">
      <alignment horizontal="center"/>
    </xf>
    <xf numFmtId="4" fontId="34" fillId="0" borderId="0" xfId="0" applyNumberFormat="1" applyFont="1" applyAlignment="1">
      <alignment horizontal="center" vertical="center"/>
    </xf>
    <xf numFmtId="4" fontId="16" fillId="0" borderId="0" xfId="0" applyNumberFormat="1" applyFont="1" applyBorder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4 2" xfId="6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2" sqref="K92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68" t="s">
        <v>174</v>
      </c>
      <c r="B2" s="168"/>
      <c r="C2" s="168"/>
      <c r="D2" s="168"/>
      <c r="E2" s="168"/>
      <c r="F2" s="168"/>
      <c r="G2" s="168"/>
      <c r="H2" s="168"/>
      <c r="I2" s="168"/>
      <c r="J2" s="168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5">
        <v>43831</v>
      </c>
      <c r="K4" s="108"/>
      <c r="L4" s="108"/>
      <c r="M4" s="108"/>
      <c r="N4" s="108"/>
    </row>
    <row r="5" spans="1:18">
      <c r="A5" s="1" t="s">
        <v>1</v>
      </c>
      <c r="E5" s="115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65" t="s">
        <v>2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08"/>
      <c r="L8" s="169"/>
      <c r="M8" s="108"/>
      <c r="N8" s="108"/>
      <c r="O8" s="70" t="s">
        <v>81</v>
      </c>
      <c r="R8" s="16"/>
    </row>
    <row r="9" spans="1:18" ht="18.75" customHeight="1" outlineLevel="1">
      <c r="A9" s="165" t="s">
        <v>3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08"/>
      <c r="L9" s="169"/>
      <c r="M9" s="108"/>
      <c r="N9" s="108"/>
      <c r="O9" s="70" t="s">
        <v>82</v>
      </c>
    </row>
    <row r="10" spans="1:18" ht="18.75" customHeight="1" outlineLevel="1">
      <c r="A10" s="165" t="s">
        <v>4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140937.82999999999</v>
      </c>
      <c r="K10" s="108"/>
      <c r="L10" s="169"/>
      <c r="M10" s="108"/>
      <c r="N10" s="108"/>
      <c r="O10" s="70" t="s">
        <v>83</v>
      </c>
    </row>
    <row r="11" spans="1:18" outlineLevel="1">
      <c r="A11" s="165" t="s">
        <v>5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243715.43</v>
      </c>
      <c r="K11" s="108"/>
      <c r="L11" s="169"/>
      <c r="M11" s="108"/>
      <c r="N11" s="108"/>
      <c r="O11" s="70" t="s">
        <v>84</v>
      </c>
    </row>
    <row r="12" spans="1:18" ht="18.75" customHeight="1" outlineLevel="1">
      <c r="A12" s="165" t="s">
        <v>6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102246.69</v>
      </c>
      <c r="K12" s="108"/>
      <c r="L12" s="169"/>
      <c r="M12" s="108"/>
      <c r="N12" s="108"/>
      <c r="O12" s="70" t="s">
        <v>85</v>
      </c>
    </row>
    <row r="13" spans="1:18" ht="18.75" customHeight="1" outlineLevel="1">
      <c r="A13" s="165" t="s">
        <v>7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73888.92</v>
      </c>
      <c r="K13" s="108"/>
      <c r="L13" s="169"/>
      <c r="M13" s="108"/>
      <c r="N13" s="108"/>
      <c r="O13" s="70" t="s">
        <v>86</v>
      </c>
    </row>
    <row r="14" spans="1:18" ht="18.75" customHeight="1" outlineLevel="1">
      <c r="A14" s="165" t="s">
        <v>8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67579.820000000007</v>
      </c>
      <c r="K14" s="108"/>
      <c r="L14" s="169"/>
      <c r="M14" s="108"/>
      <c r="N14" s="108"/>
      <c r="O14" s="70" t="s">
        <v>87</v>
      </c>
    </row>
    <row r="15" spans="1:18" ht="18.75" customHeight="1" outlineLevel="1">
      <c r="A15" s="165" t="s">
        <v>9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211582.28</v>
      </c>
      <c r="K15" s="108"/>
      <c r="L15" s="169"/>
      <c r="M15" s="108"/>
      <c r="N15" s="108"/>
      <c r="O15" s="70" t="s">
        <v>88</v>
      </c>
    </row>
    <row r="16" spans="1:18" ht="18.75" customHeight="1" outlineLevel="1">
      <c r="A16" s="165" t="s">
        <v>10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211582.28</v>
      </c>
      <c r="K16" s="108"/>
      <c r="L16" s="169"/>
      <c r="M16" s="108"/>
      <c r="N16" s="108"/>
      <c r="O16" s="70" t="s">
        <v>89</v>
      </c>
    </row>
    <row r="17" spans="1:23" ht="18.75" customHeight="1" outlineLevel="1">
      <c r="A17" s="165" t="s">
        <v>11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08"/>
      <c r="L17" s="169"/>
      <c r="M17" s="108"/>
      <c r="N17" s="108"/>
      <c r="O17" s="70" t="s">
        <v>90</v>
      </c>
    </row>
    <row r="18" spans="1:23" ht="18.75" customHeight="1" outlineLevel="1">
      <c r="A18" s="165" t="s">
        <v>12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08"/>
      <c r="L18" s="169"/>
      <c r="M18" s="108"/>
      <c r="N18" s="108"/>
      <c r="O18" s="70" t="s">
        <v>91</v>
      </c>
    </row>
    <row r="19" spans="1:23" ht="18.75" customHeight="1" outlineLevel="1">
      <c r="A19" s="165" t="s">
        <v>13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08"/>
      <c r="L19" s="169"/>
      <c r="M19" s="108"/>
      <c r="N19" s="108"/>
      <c r="O19" s="70" t="s">
        <v>92</v>
      </c>
    </row>
    <row r="20" spans="1:23" ht="18.75" customHeight="1" outlineLevel="1">
      <c r="A20" s="165" t="s">
        <v>14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08"/>
      <c r="L20" s="169"/>
      <c r="M20" s="108"/>
      <c r="N20" s="108"/>
      <c r="O20" s="70" t="s">
        <v>93</v>
      </c>
    </row>
    <row r="21" spans="1:23" ht="18.75" customHeight="1" outlineLevel="1">
      <c r="A21" s="165" t="s">
        <v>15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211582.28</v>
      </c>
      <c r="K21" s="108"/>
      <c r="L21" s="169"/>
      <c r="M21" s="108"/>
      <c r="N21" s="108"/>
      <c r="O21" s="70" t="s">
        <v>94</v>
      </c>
    </row>
    <row r="22" spans="1:23" ht="18.75" customHeight="1" outlineLevel="1">
      <c r="A22" s="165" t="s">
        <v>16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08"/>
      <c r="L22" s="169"/>
      <c r="M22" s="108"/>
      <c r="N22" s="108"/>
      <c r="O22" s="70" t="s">
        <v>95</v>
      </c>
    </row>
    <row r="23" spans="1:23" ht="18.75" customHeight="1" outlineLevel="1">
      <c r="A23" s="165" t="s">
        <v>17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08"/>
      <c r="L23" s="169"/>
      <c r="M23" s="108"/>
      <c r="N23" s="108"/>
      <c r="O23" s="70" t="s">
        <v>96</v>
      </c>
    </row>
    <row r="24" spans="1:23" ht="18.75" customHeight="1" outlineLevel="1">
      <c r="A24" s="165" t="s">
        <v>18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173070.98</v>
      </c>
      <c r="K24" s="108"/>
      <c r="L24" s="169"/>
      <c r="M24" s="108"/>
      <c r="N24" s="108"/>
      <c r="O24" s="70" t="s">
        <v>97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08"/>
      <c r="L27" s="170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47">
        <f>VLOOKUP(A28,ПТО!$A$39:$D$53,2,FALSE)</f>
        <v>13841.52</v>
      </c>
      <c r="G28" s="147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08"/>
      <c r="L28" s="170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6" t="str">
        <f>ПТО!A40</f>
        <v>Работы и услуги по управлению МКД</v>
      </c>
      <c r="B29" s="146"/>
      <c r="C29" s="146"/>
      <c r="D29" s="146"/>
      <c r="E29" s="146"/>
      <c r="F29" s="147">
        <f>VLOOKUP(A29,ПТО!$A$39:$D$53,2,FALSE)</f>
        <v>66546</v>
      </c>
      <c r="G29" s="147"/>
      <c r="H29" s="41" t="str">
        <f>VLOOKUP(A29,ПТО!$A$39:$D$53,3,FALSE)</f>
        <v>Ежемесячно</v>
      </c>
      <c r="I29" s="148">
        <f>VLOOKUP(A29,ПТО!$A$39:$D$53,4,FALSE)</f>
        <v>12</v>
      </c>
      <c r="J29" s="148"/>
      <c r="K29" s="108"/>
      <c r="L29" s="170"/>
      <c r="M29" s="108"/>
      <c r="N29" s="108"/>
      <c r="O29" s="23" t="str">
        <f t="shared" si="1"/>
        <v>Работы и услуги по управлению МКД</v>
      </c>
      <c r="R29" s="1" t="s">
        <v>71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47">
        <f>VLOOKUP(A30,ПТО!$A$39:$D$53,2,FALSE)</f>
        <v>27550.080000000002</v>
      </c>
      <c r="G30" s="147"/>
      <c r="H30" s="41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08"/>
      <c r="L30" s="170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47">
        <f>VLOOKUP(A31,ПТО!$A$39:$D$53,2,FALSE)</f>
        <v>15971.04</v>
      </c>
      <c r="G31" s="147"/>
      <c r="H31" s="41" t="str">
        <f>VLOOKUP(A31,ПТО!$A$39:$D$53,3,FALSE)</f>
        <v>Ежемесячно</v>
      </c>
      <c r="I31" s="148">
        <f>VLOOKUP(A31,ПТО!$A$39:$D$53,4,FALSE)</f>
        <v>12</v>
      </c>
      <c r="J31" s="148"/>
      <c r="K31" s="108"/>
      <c r="L31" s="170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47" t="e">
        <f>VLOOKUP(A32,ПТО!$A$39:$D$53,2,FALSE)</f>
        <v>#N/A</v>
      </c>
      <c r="G32" s="147"/>
      <c r="H32" s="41" t="e">
        <f>VLOOKUP(A32,ПТО!$A$39:$D$53,3,FALSE)</f>
        <v>#N/A</v>
      </c>
      <c r="I32" s="148" t="e">
        <f>VLOOKUP(A32,ПТО!$A$39:$D$53,4,FALSE)</f>
        <v>#N/A</v>
      </c>
      <c r="J32" s="148"/>
      <c r="K32" s="108"/>
      <c r="L32" s="170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47">
        <f>VLOOKUP(A33,ПТО!$A$39:$D$53,2,FALSE)</f>
        <v>6787.68</v>
      </c>
      <c r="G33" s="147"/>
      <c r="H33" s="41" t="str">
        <f>VLOOKUP(A33,ПТО!$A$39:$D$53,3,FALSE)</f>
        <v>Круглосуточно</v>
      </c>
      <c r="I33" s="148">
        <f>VLOOKUP(A33,ПТО!$A$39:$D$53,4,FALSE)</f>
        <v>12</v>
      </c>
      <c r="J33" s="148"/>
      <c r="K33" s="108"/>
      <c r="L33" s="170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47">
        <f>VLOOKUP(A34,ПТО!$A$39:$D$53,2,FALSE)</f>
        <v>30611.159999999996</v>
      </c>
      <c r="G34" s="147"/>
      <c r="H34" s="41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08"/>
      <c r="L34" s="170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6">
        <f>ПТО!A46</f>
        <v>0</v>
      </c>
      <c r="B35" s="146"/>
      <c r="C35" s="146"/>
      <c r="D35" s="146"/>
      <c r="E35" s="146"/>
      <c r="F35" s="147" t="e">
        <f>VLOOKUP(A35,ПТО!$A$39:$D$53,2,FALSE)</f>
        <v>#N/A</v>
      </c>
      <c r="G35" s="147"/>
      <c r="H35" s="41" t="e">
        <f>VLOOKUP(A35,ПТО!$A$39:$D$53,3,FALSE)</f>
        <v>#N/A</v>
      </c>
      <c r="I35" s="148" t="e">
        <f>VLOOKUP(A35,ПТО!$A$39:$D$53,4,FALSE)</f>
        <v>#N/A</v>
      </c>
      <c r="J35" s="148"/>
      <c r="K35" s="108"/>
      <c r="L35" s="170"/>
      <c r="M35" s="114"/>
      <c r="N35" s="108"/>
      <c r="O35" s="23">
        <f t="shared" si="1"/>
        <v>0</v>
      </c>
      <c r="R35" s="1" t="s">
        <v>71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47" t="e">
        <f>VLOOKUP(A36,ПТО!$A$39:$D$53,2,FALSE)</f>
        <v>#N/A</v>
      </c>
      <c r="G36" s="147"/>
      <c r="H36" s="41" t="e">
        <f>VLOOKUP(A36,ПТО!$A$39:$D$53,3,FALSE)</f>
        <v>#N/A</v>
      </c>
      <c r="I36" s="148" t="e">
        <f>VLOOKUP(A36,ПТО!$A$39:$D$53,4,FALSE)</f>
        <v>#N/A</v>
      </c>
      <c r="J36" s="148"/>
      <c r="K36" s="108"/>
      <c r="L36" s="170"/>
      <c r="M36" s="114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47" t="e">
        <f>VLOOKUP(A37,ПТО!$A$39:$D$53,2,FALSE)</f>
        <v>#N/A</v>
      </c>
      <c r="G37" s="147"/>
      <c r="H37" s="41" t="e">
        <f>VLOOKUP(A37,ПТО!$A$39:$D$53,3,FALSE)</f>
        <v>#N/A</v>
      </c>
      <c r="I37" s="148" t="e">
        <f>VLOOKUP(A37,ПТО!$A$39:$D$53,4,FALSE)</f>
        <v>#N/A</v>
      </c>
      <c r="J37" s="148"/>
      <c r="K37" s="108"/>
      <c r="L37" s="170"/>
      <c r="M37" s="114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47" t="e">
        <f>VLOOKUP(A38,ПТО!$A$39:$D$53,2,FALSE)</f>
        <v>#N/A</v>
      </c>
      <c r="G38" s="147"/>
      <c r="H38" s="41" t="e">
        <f>VLOOKUP(A38,ПТО!$A$39:$D$53,3,FALSE)</f>
        <v>#N/A</v>
      </c>
      <c r="I38" s="148" t="e">
        <f>VLOOKUP(A38,ПТО!$A$39:$D$53,4,FALSE)</f>
        <v>#N/A</v>
      </c>
      <c r="J38" s="148"/>
      <c r="K38" s="108"/>
      <c r="L38" s="170"/>
      <c r="M38" s="114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47" t="e">
        <f>VLOOKUP(A39,ПТО!$A$39:$D$53,2,FALSE)</f>
        <v>#N/A</v>
      </c>
      <c r="G39" s="147"/>
      <c r="H39" s="41" t="e">
        <f>VLOOKUP(A39,ПТО!$A$39:$D$53,3,FALSE)</f>
        <v>#N/A</v>
      </c>
      <c r="I39" s="148" t="e">
        <f>VLOOKUP(A39,ПТО!$A$39:$D$53,4,FALSE)</f>
        <v>#N/A</v>
      </c>
      <c r="J39" s="148"/>
      <c r="K39" s="108"/>
      <c r="L39" s="170"/>
      <c r="M39" s="114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47" t="e">
        <f>VLOOKUP(A40,ПТО!$A$39:$D$53,2,FALSE)</f>
        <v>#N/A</v>
      </c>
      <c r="G40" s="147"/>
      <c r="H40" s="41" t="e">
        <f>VLOOKUP(A40,ПТО!$A$39:$D$53,3,FALSE)</f>
        <v>#N/A</v>
      </c>
      <c r="I40" s="148" t="e">
        <f>VLOOKUP(A40,ПТО!$A$39:$D$53,4,FALSE)</f>
        <v>#N/A</v>
      </c>
      <c r="J40" s="148"/>
      <c r="K40" s="108"/>
      <c r="L40" s="170"/>
      <c r="M40" s="114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47" t="e">
        <f>VLOOKUP(A41,ПТО!$A$39:$D$53,2,FALSE)</f>
        <v>#N/A</v>
      </c>
      <c r="G41" s="147"/>
      <c r="H41" s="41" t="e">
        <f>VLOOKUP(A41,ПТО!$A$39:$D$53,3,FALSE)</f>
        <v>#N/A</v>
      </c>
      <c r="I41" s="148" t="e">
        <f>VLOOKUP(A41,ПТО!$A$39:$D$53,4,FALSE)</f>
        <v>#N/A</v>
      </c>
      <c r="J41" s="148"/>
      <c r="K41" s="108"/>
      <c r="L41" s="170"/>
      <c r="M41" s="114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47" t="e">
        <f>VLOOKUP(A42,ПТО!$A$39:$D$53,2,FALSE)</f>
        <v>#N/A</v>
      </c>
      <c r="G42" s="147"/>
      <c r="H42" s="41" t="e">
        <f>VLOOKUP(A42,ПТО!$A$39:$D$53,3,FALSE)</f>
        <v>#N/A</v>
      </c>
      <c r="I42" s="148" t="e">
        <f>VLOOKUP(A42,ПТО!$A$39:$D$53,4,FALSE)</f>
        <v>#N/A</v>
      </c>
      <c r="J42" s="148"/>
      <c r="K42" s="108"/>
      <c r="L42" s="170"/>
      <c r="M42" s="114"/>
      <c r="N42" s="108"/>
      <c r="O42" s="23">
        <f t="shared" si="1"/>
        <v>0</v>
      </c>
      <c r="R42" s="1" t="s">
        <v>71</v>
      </c>
    </row>
    <row r="43" spans="1:18" ht="51" customHeight="1" outlineLevel="1">
      <c r="A43" s="146" t="str">
        <f>ПТО!A2</f>
        <v>Техническое обслуживание охранной сигнализации.</v>
      </c>
      <c r="B43" s="146"/>
      <c r="C43" s="146"/>
      <c r="D43" s="146"/>
      <c r="E43" s="146"/>
      <c r="F43" s="147">
        <f>VLOOKUP(A43,ПТО!$A$2:$D$31,4,FALSE)</f>
        <v>5324.4</v>
      </c>
      <c r="G43" s="147"/>
      <c r="H43" s="19" t="str">
        <f>VLOOKUP(A43,ПТО!$A$2:$D$31,2,FALSE)</f>
        <v>ежемесячно</v>
      </c>
      <c r="I43" s="148">
        <f>VLOOKUP(A43,ПТО!$A$2:$D$31,3,FALSE)</f>
        <v>12</v>
      </c>
      <c r="J43" s="148"/>
      <c r="K43" s="108"/>
      <c r="L43" s="170"/>
      <c r="M43" s="114"/>
      <c r="N43" s="108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6" t="str">
        <f>ПТО!A3</f>
        <v>Приобретение и установка ОДПУ ХВС.</v>
      </c>
      <c r="B44" s="146"/>
      <c r="C44" s="146"/>
      <c r="D44" s="146"/>
      <c r="E44" s="146"/>
      <c r="F44" s="147">
        <f>VLOOKUP(A44,ПТО!$A$2:$D$31,4,FALSE)</f>
        <v>2035.72</v>
      </c>
      <c r="G44" s="147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08"/>
      <c r="L44" s="170"/>
      <c r="M44" s="114"/>
      <c r="N44" s="108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46" t="str">
        <f>ПТО!A4</f>
        <v>Приобретение и установка таблички по пожарной безопасности.</v>
      </c>
      <c r="B45" s="146"/>
      <c r="C45" s="146"/>
      <c r="D45" s="146"/>
      <c r="E45" s="146"/>
      <c r="F45" s="147">
        <f>VLOOKUP(A45,ПТО!$A$2:$D$31,4,FALSE)</f>
        <v>250</v>
      </c>
      <c r="G45" s="147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08"/>
      <c r="L45" s="170"/>
      <c r="M45" s="114"/>
      <c r="N45" s="108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6" t="str">
        <f>ПТО!A5</f>
        <v>Изготовление баннера на откатные ворота.</v>
      </c>
      <c r="B46" s="146"/>
      <c r="C46" s="146"/>
      <c r="D46" s="146"/>
      <c r="E46" s="146"/>
      <c r="F46" s="147">
        <f>VLOOKUP(A46,ПТО!$A$2:$D$31,4,FALSE)</f>
        <v>1266</v>
      </c>
      <c r="G46" s="147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08"/>
      <c r="L46" s="170"/>
      <c r="M46" s="114"/>
      <c r="N46" s="108"/>
      <c r="O46" s="23" t="str">
        <f t="shared" si="1"/>
        <v>Изготовление баннера на откатные ворота.</v>
      </c>
      <c r="R46" s="22" t="s">
        <v>72</v>
      </c>
    </row>
    <row r="47" spans="1:18" ht="51" customHeight="1" outlineLevel="1">
      <c r="A47" s="146" t="str">
        <f>ПТО!A6</f>
        <v>Замена прибора учета электрической энергии.</v>
      </c>
      <c r="B47" s="146"/>
      <c r="C47" s="146"/>
      <c r="D47" s="146"/>
      <c r="E47" s="146"/>
      <c r="F47" s="147">
        <f>VLOOKUP(A47,ПТО!$A$2:$D$31,4,FALSE)</f>
        <v>7209</v>
      </c>
      <c r="G47" s="147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08"/>
      <c r="L47" s="170"/>
      <c r="M47" s="114"/>
      <c r="N47" s="108"/>
      <c r="O47" s="23" t="str">
        <f t="shared" si="1"/>
        <v>Замена прибора учета электрической энергии.</v>
      </c>
      <c r="R47" s="22" t="s">
        <v>72</v>
      </c>
    </row>
    <row r="48" spans="1:18" ht="51" customHeight="1" outlineLevel="1">
      <c r="A48" s="146" t="str">
        <f>ПТО!A7</f>
        <v>Монтаж системы видеонаблюдения.</v>
      </c>
      <c r="B48" s="146"/>
      <c r="C48" s="146"/>
      <c r="D48" s="146"/>
      <c r="E48" s="146"/>
      <c r="F48" s="147">
        <f>VLOOKUP(A48,ПТО!$A$2:$D$31,4,FALSE)</f>
        <v>37930</v>
      </c>
      <c r="G48" s="147"/>
      <c r="H48" s="25" t="str">
        <f>VLOOKUP(A48,ПТО!$A$2:$D$31,2,FALSE)</f>
        <v>разово</v>
      </c>
      <c r="I48" s="148">
        <f>VLOOKUP(A48,ПТО!$A$2:$D$31,3,FALSE)</f>
        <v>1</v>
      </c>
      <c r="J48" s="148"/>
      <c r="K48" s="108"/>
      <c r="L48" s="170"/>
      <c r="M48" s="114"/>
      <c r="N48" s="108"/>
      <c r="O48" s="23" t="str">
        <f t="shared" si="1"/>
        <v>Монтаж системы видеонаблюдения.</v>
      </c>
      <c r="R48" s="22" t="s">
        <v>72</v>
      </c>
    </row>
    <row r="49" spans="1:18" ht="51" customHeight="1" outlineLevel="1">
      <c r="A49" s="146" t="str">
        <f>ПТО!A8</f>
        <v>Ремонт подъезда.</v>
      </c>
      <c r="B49" s="146"/>
      <c r="C49" s="146"/>
      <c r="D49" s="146"/>
      <c r="E49" s="146"/>
      <c r="F49" s="147">
        <f>VLOOKUP(A49,ПТО!$A$2:$D$31,4,FALSE)</f>
        <v>158725</v>
      </c>
      <c r="G49" s="147"/>
      <c r="H49" s="25" t="str">
        <f>VLOOKUP(A49,ПТО!$A$2:$D$31,2,FALSE)</f>
        <v>разово</v>
      </c>
      <c r="I49" s="148">
        <f>VLOOKUP(A49,ПТО!$A$2:$D$31,3,FALSE)</f>
        <v>1</v>
      </c>
      <c r="J49" s="148"/>
      <c r="K49" s="108"/>
      <c r="L49" s="170"/>
      <c r="M49" s="114"/>
      <c r="N49" s="108"/>
      <c r="O49" s="23" t="str">
        <f t="shared" si="1"/>
        <v>Ремонт подъезда.</v>
      </c>
      <c r="R49" s="22" t="s">
        <v>72</v>
      </c>
    </row>
    <row r="50" spans="1:18" ht="51" customHeight="1" outlineLevel="1">
      <c r="A50" s="146" t="str">
        <f>ПТО!A9</f>
        <v>Ремонт блока управления откатных ворот.</v>
      </c>
      <c r="B50" s="146"/>
      <c r="C50" s="146"/>
      <c r="D50" s="146"/>
      <c r="E50" s="146"/>
      <c r="F50" s="147">
        <f>VLOOKUP(A50,ПТО!$A$2:$D$31,4,FALSE)</f>
        <v>5000</v>
      </c>
      <c r="G50" s="147"/>
      <c r="H50" s="25" t="str">
        <f>VLOOKUP(A50,ПТО!$A$2:$D$31,2,FALSE)</f>
        <v>разово</v>
      </c>
      <c r="I50" s="148">
        <f>VLOOKUP(A50,ПТО!$A$2:$D$31,3,FALSE)</f>
        <v>1</v>
      </c>
      <c r="J50" s="148"/>
      <c r="K50" s="108"/>
      <c r="L50" s="170"/>
      <c r="M50" s="114"/>
      <c r="N50" s="108"/>
      <c r="O50" s="23" t="str">
        <f t="shared" si="1"/>
        <v>Ремонт блока управления откатных ворот.</v>
      </c>
      <c r="R50" s="22" t="s">
        <v>72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08"/>
      <c r="L51" s="170"/>
      <c r="M51" s="114"/>
      <c r="N51" s="108"/>
      <c r="O51" s="23">
        <f t="shared" si="1"/>
        <v>0</v>
      </c>
      <c r="R51" s="22" t="s">
        <v>72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08"/>
      <c r="L52" s="170"/>
      <c r="M52" s="114"/>
      <c r="N52" s="108"/>
      <c r="O52" s="23">
        <f t="shared" si="1"/>
        <v>0</v>
      </c>
      <c r="R52" s="22" t="s">
        <v>72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08"/>
      <c r="L53" s="170"/>
      <c r="M53" s="114"/>
      <c r="N53" s="108"/>
      <c r="O53" s="23">
        <f t="shared" si="1"/>
        <v>0</v>
      </c>
      <c r="R53" s="22" t="s">
        <v>72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08"/>
      <c r="L54" s="170"/>
      <c r="M54" s="114"/>
      <c r="N54" s="108"/>
      <c r="O54" s="23">
        <f t="shared" si="1"/>
        <v>0</v>
      </c>
      <c r="R54" s="22" t="s">
        <v>72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08"/>
      <c r="L55" s="170"/>
      <c r="M55" s="114"/>
      <c r="N55" s="108"/>
      <c r="O55" s="23">
        <f t="shared" si="1"/>
        <v>0</v>
      </c>
      <c r="R55" s="22" t="s">
        <v>72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08"/>
      <c r="L56" s="170"/>
      <c r="M56" s="114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08"/>
      <c r="L57" s="170"/>
      <c r="M57" s="114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08"/>
      <c r="L58" s="170"/>
      <c r="M58" s="114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08"/>
      <c r="L59" s="170"/>
      <c r="M59" s="114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08"/>
      <c r="L60" s="170"/>
      <c r="M60" s="114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08"/>
      <c r="L61" s="170"/>
      <c r="M61" s="114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08"/>
      <c r="L62" s="170"/>
      <c r="M62" s="114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08"/>
      <c r="L63" s="170"/>
      <c r="M63" s="114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08"/>
      <c r="L64" s="170"/>
      <c r="M64" s="114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08"/>
      <c r="L65" s="170"/>
      <c r="M65" s="114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08"/>
      <c r="L66" s="170"/>
      <c r="M66" s="114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08"/>
      <c r="L67" s="170"/>
      <c r="M67" s="114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08"/>
      <c r="L68" s="170"/>
      <c r="M68" s="114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08"/>
      <c r="L69" s="170"/>
      <c r="M69" s="114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08"/>
      <c r="L70" s="170"/>
      <c r="M70" s="114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4"/>
      <c r="L71" s="170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08"/>
      <c r="L72" s="170"/>
      <c r="M72" s="114"/>
      <c r="N72" s="108"/>
      <c r="O72" s="23">
        <f t="shared" si="1"/>
        <v>0</v>
      </c>
      <c r="R72" s="22" t="s">
        <v>72</v>
      </c>
    </row>
    <row r="73" spans="1:16384">
      <c r="A73" s="103" t="s">
        <v>173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08"/>
      <c r="L75" s="153"/>
      <c r="M75" s="108"/>
      <c r="N75" s="108"/>
      <c r="O75" s="70" t="s">
        <v>98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08"/>
      <c r="L76" s="153"/>
      <c r="M76" s="108"/>
      <c r="N76" s="108"/>
      <c r="O76" s="70" t="s">
        <v>99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08"/>
      <c r="L77" s="153"/>
      <c r="M77" s="108"/>
      <c r="N77" s="108"/>
      <c r="O77" s="70" t="s">
        <v>100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7">
        <f>VLOOKUP(O78,АО,3,FALSE)</f>
        <v>0</v>
      </c>
      <c r="K78" s="108"/>
      <c r="L78" s="153"/>
      <c r="M78" s="108"/>
      <c r="N78" s="108"/>
      <c r="O78" s="70" t="s">
        <v>101</v>
      </c>
    </row>
    <row r="79" spans="1:16384">
      <c r="A79" s="113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54" t="s">
        <v>2</v>
      </c>
      <c r="B81" s="154"/>
      <c r="C81" s="154"/>
      <c r="D81" s="154"/>
      <c r="E81" s="154"/>
      <c r="F81" s="154"/>
      <c r="G81" s="154"/>
      <c r="H81" s="154"/>
      <c r="I81" s="154"/>
      <c r="J81" s="97">
        <f t="shared" ref="J81:J90" si="2">VLOOKUP(O81,АО,3,FALSE)</f>
        <v>0</v>
      </c>
      <c r="K81" s="108"/>
      <c r="L81" s="171"/>
      <c r="M81" s="108"/>
      <c r="N81" s="108"/>
      <c r="O81" s="70" t="s">
        <v>102</v>
      </c>
    </row>
    <row r="82" spans="1:15" outlineLevel="1">
      <c r="A82" s="154" t="s">
        <v>3</v>
      </c>
      <c r="B82" s="154"/>
      <c r="C82" s="154"/>
      <c r="D82" s="154"/>
      <c r="E82" s="154"/>
      <c r="F82" s="154"/>
      <c r="G82" s="154"/>
      <c r="H82" s="154"/>
      <c r="I82" s="154"/>
      <c r="J82" s="97">
        <f t="shared" si="2"/>
        <v>0</v>
      </c>
      <c r="K82" s="108"/>
      <c r="L82" s="171"/>
      <c r="M82" s="108"/>
      <c r="N82" s="108"/>
      <c r="O82" s="70" t="s">
        <v>103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7">
        <f t="shared" si="2"/>
        <v>168982.06</v>
      </c>
      <c r="K83" s="108"/>
      <c r="L83" s="171"/>
      <c r="M83" s="108"/>
      <c r="N83" s="108"/>
      <c r="O83" s="70" t="s">
        <v>104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7">
        <f t="shared" si="2"/>
        <v>0</v>
      </c>
      <c r="K84" s="108"/>
      <c r="L84" s="171"/>
      <c r="M84" s="108"/>
      <c r="N84" s="108"/>
      <c r="O84" s="70" t="s">
        <v>105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7">
        <f t="shared" si="2"/>
        <v>0</v>
      </c>
      <c r="K85" s="108"/>
      <c r="L85" s="171"/>
      <c r="M85" s="108"/>
      <c r="N85" s="108"/>
      <c r="O85" s="70" t="s">
        <v>106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7">
        <f t="shared" si="2"/>
        <v>145831.70000000001</v>
      </c>
      <c r="K86" s="108"/>
      <c r="L86" s="171"/>
      <c r="M86" s="108"/>
      <c r="N86" s="108"/>
      <c r="O86" s="70" t="s">
        <v>107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08"/>
      <c r="L87" s="171"/>
      <c r="M87" s="108"/>
      <c r="N87" s="108"/>
      <c r="O87" s="70" t="s">
        <v>108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08"/>
      <c r="L88" s="171"/>
      <c r="M88" s="108"/>
      <c r="N88" s="108"/>
      <c r="O88" s="70" t="s">
        <v>109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08"/>
      <c r="L89" s="171"/>
      <c r="M89" s="108"/>
      <c r="N89" s="108"/>
      <c r="O89" s="70" t="s">
        <v>110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7">
        <f t="shared" si="2"/>
        <v>0</v>
      </c>
      <c r="K90" s="108"/>
      <c r="L90" s="171"/>
      <c r="M90" s="108"/>
      <c r="N90" s="108"/>
      <c r="O90" s="70" t="s">
        <v>111</v>
      </c>
    </row>
    <row r="91" spans="1:15">
      <c r="A91" s="103" t="s">
        <v>173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55" t="s">
        <v>48</v>
      </c>
      <c r="B93" s="155"/>
      <c r="C93" s="155"/>
      <c r="D93" s="158" t="s">
        <v>49</v>
      </c>
      <c r="E93" s="158"/>
      <c r="F93" s="10" t="s">
        <v>50</v>
      </c>
      <c r="G93" s="155" t="s">
        <v>51</v>
      </c>
      <c r="H93" s="155"/>
      <c r="I93" s="155"/>
      <c r="J93" s="155"/>
      <c r="K93" s="108"/>
      <c r="L93" s="108"/>
      <c r="M93" s="108"/>
      <c r="N93" s="108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6">
        <f>VLOOKUP("эл",АО,5,FALSE)</f>
        <v>29206.090000000004</v>
      </c>
      <c r="H94" s="157"/>
      <c r="I94" s="157"/>
      <c r="J94" s="157"/>
      <c r="K94" s="1" t="str">
        <f>VLOOKUP("эл",АО,2,FALSE)</f>
        <v>Электроснабжение</v>
      </c>
      <c r="L94" s="172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25619.377192982462</v>
      </c>
      <c r="L95" s="172"/>
      <c r="O95" s="1" t="s">
        <v>112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30599.550000000003</v>
      </c>
      <c r="L96" s="172"/>
      <c r="O96" s="1" t="s">
        <v>113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0</v>
      </c>
      <c r="L97" s="172"/>
      <c r="O97" s="1" t="s">
        <v>114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29206.090000000004</v>
      </c>
      <c r="L98" s="172"/>
      <c r="O98" s="1" t="s">
        <v>115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29206.090000000004</v>
      </c>
      <c r="L99" s="172"/>
      <c r="O99" s="1" t="s">
        <v>116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72"/>
      <c r="O100" s="1" t="s">
        <v>117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72"/>
      <c r="O101" s="1" t="s">
        <v>118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6">
        <f>VLOOKUP("хвс",АО,5,FALSE)</f>
        <v>23395.050000000003</v>
      </c>
      <c r="H102" s="157"/>
      <c r="I102" s="157"/>
      <c r="J102" s="157"/>
      <c r="L102" s="172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1729.1241685144128</v>
      </c>
      <c r="L103" s="172"/>
      <c r="O103" s="1" t="s">
        <v>121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31324</v>
      </c>
      <c r="L104" s="172"/>
      <c r="O104" s="1" t="s">
        <v>122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0</v>
      </c>
      <c r="L105" s="172"/>
      <c r="O105" s="1" t="s">
        <v>123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23395.050000000003</v>
      </c>
      <c r="L106" s="172"/>
      <c r="O106" s="1" t="s">
        <v>124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23395.050000000003</v>
      </c>
      <c r="L107" s="172"/>
      <c r="O107" s="1" t="s">
        <v>125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72"/>
      <c r="O108" s="1" t="s">
        <v>126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72"/>
      <c r="O109" s="1" t="s">
        <v>127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6">
        <f>VLOOKUP("воо",АО,5,FALSE)</f>
        <v>25162.879999999997</v>
      </c>
      <c r="H110" s="157"/>
      <c r="I110" s="157"/>
      <c r="J110" s="157"/>
      <c r="L110" s="172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1630.7764095917044</v>
      </c>
      <c r="L111" s="172"/>
      <c r="O111" s="1" t="s">
        <v>129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33857.070000000007</v>
      </c>
      <c r="L112" s="172"/>
      <c r="O112" s="1" t="s">
        <v>130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0</v>
      </c>
      <c r="L113" s="172"/>
      <c r="O113" s="1" t="s">
        <v>131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25162.879999999997</v>
      </c>
      <c r="L114" s="172"/>
      <c r="O114" s="1" t="s">
        <v>132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25162.879999999997</v>
      </c>
      <c r="L115" s="172"/>
      <c r="O115" s="1" t="s">
        <v>133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72"/>
      <c r="O116" s="1" t="s">
        <v>134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72"/>
      <c r="O117" s="1" t="s">
        <v>135</v>
      </c>
    </row>
    <row r="118" spans="1:15" ht="32.25" hidden="1" customHeight="1" outlineLevel="1">
      <c r="A118" s="159">
        <f>IF(VLOOKUP("тко",АО,3,FALSE)&gt;0,"Обращение с ТКО",0)</f>
        <v>0</v>
      </c>
      <c r="B118" s="159"/>
      <c r="C118" s="159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6">
        <f>VLOOKUP("тко",АО,5,FALSE)</f>
        <v>0</v>
      </c>
      <c r="H118" s="157"/>
      <c r="I118" s="157"/>
      <c r="J118" s="157"/>
      <c r="L118" s="47"/>
    </row>
    <row r="119" spans="1:15" ht="32.25" hidden="1" customHeight="1" outlineLevel="2">
      <c r="A119" s="154">
        <f t="shared" ref="A119:A125" si="8">IF(VLOOKUP("тко",АО,3,FALSE)&gt;0,VLOOKUP(O119,АО,2,FALSE),0)</f>
        <v>0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54">
        <f t="shared" si="8"/>
        <v>0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54">
        <f t="shared" si="8"/>
        <v>0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54">
        <f t="shared" si="8"/>
        <v>0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54">
        <f t="shared" si="8"/>
        <v>0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54">
        <f t="shared" si="8"/>
        <v>0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54">
        <f t="shared" si="8"/>
        <v>0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59">
        <f>IF(VLOOKUP("гвс",АО,3,FALSE)&gt;0,"Горячее водоснабжение",0)</f>
        <v>0</v>
      </c>
      <c r="B126" s="159"/>
      <c r="C126" s="159"/>
      <c r="D126" s="157">
        <f>IF(VLOOKUP("гвс",АО,3,FALSE)&gt;0,VLOOKUP("гвс",АО,3,FALSE),0)</f>
        <v>0</v>
      </c>
      <c r="E126" s="157"/>
      <c r="F126" s="13">
        <f>IF(VLOOKUP("гвс",АО,3,FALSE)&gt;0,VLOOKUP("гвс",АО,4,FALSE),0)</f>
        <v>0</v>
      </c>
      <c r="G126" s="156">
        <f>VLOOKUP("гвс",АО,5,FALSE)</f>
        <v>0</v>
      </c>
      <c r="H126" s="157"/>
      <c r="I126" s="157"/>
      <c r="J126" s="157"/>
      <c r="L126" s="47"/>
    </row>
    <row r="127" spans="1:15" ht="32.25" hidden="1" customHeight="1" outlineLevel="2">
      <c r="A127" s="154">
        <f t="shared" ref="A127:A133" si="10">IF(VLOOKUP("гвс",АО,3,FALSE)&gt;0,VLOOKUP(O127,АО,2,FALSE),0)</f>
        <v>0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4">
        <f t="shared" si="10"/>
        <v>0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4">
        <f t="shared" si="10"/>
        <v>0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4">
        <f t="shared" si="10"/>
        <v>0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4">
        <f t="shared" si="10"/>
        <v>0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4">
        <f t="shared" si="10"/>
        <v>0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4">
        <f t="shared" si="10"/>
        <v>0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7"/>
      <c r="I134" s="157"/>
      <c r="J134" s="157"/>
      <c r="L134" s="47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54" t="s">
        <v>45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169</v>
      </c>
    </row>
    <row r="145" spans="1:15" ht="18.75" customHeight="1" outlineLevel="1">
      <c r="A145" s="154" t="s">
        <v>46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1</v>
      </c>
      <c r="L145" s="15"/>
      <c r="O145" t="s">
        <v>170</v>
      </c>
    </row>
    <row r="146" spans="1:15" ht="30" customHeight="1" outlineLevel="1">
      <c r="A146" s="154" t="s">
        <v>172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124168.5</v>
      </c>
      <c r="O146" t="s">
        <v>171</v>
      </c>
    </row>
    <row r="149" spans="1:15" ht="52.5" customHeight="1">
      <c r="A149" s="150" t="s">
        <v>177</v>
      </c>
      <c r="B149" s="150"/>
      <c r="C149" s="150"/>
      <c r="D149" s="150"/>
      <c r="E149" s="150"/>
      <c r="F149" s="150"/>
      <c r="G149" s="150"/>
      <c r="H149" s="150"/>
      <c r="I149" s="150"/>
      <c r="J149" s="150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9" t="s">
        <v>179</v>
      </c>
      <c r="B154" s="149"/>
      <c r="C154" s="149"/>
      <c r="D154" s="149"/>
      <c r="E154" s="27">
        <f>ПТО!G1</f>
        <v>-150615.46</v>
      </c>
    </row>
    <row r="155" spans="1:15" ht="34.5" customHeight="1">
      <c r="A155" s="151" t="s">
        <v>183</v>
      </c>
      <c r="B155" s="151"/>
      <c r="C155" s="151"/>
      <c r="D155" s="151"/>
      <c r="E155" s="28">
        <f>J13</f>
        <v>73888.92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6" t="str">
        <f t="shared" ref="A158:A163" si="14">IF(N158&gt;0,N158,0)</f>
        <v>Техническое обслуживание охранной сигнализации.</v>
      </c>
      <c r="B158" s="146"/>
      <c r="C158" s="146"/>
      <c r="D158" s="146"/>
      <c r="E158" s="146"/>
      <c r="F158" s="147">
        <f t="shared" ref="F158:F163" si="15">IF(ISERROR(VLOOKUP(A158,$A$28:$J$72,6,FALSE)),0,VLOOKUP(A158,$A$28:$J$72,6,FALSE))</f>
        <v>5324.4</v>
      </c>
      <c r="G158" s="147"/>
      <c r="H158" s="24" t="str">
        <f t="shared" ref="H158:H187" si="16">VLOOKUP(A158,$A$28:$J$72,8,FALSE)</f>
        <v>ежемесячно</v>
      </c>
      <c r="I158" s="148">
        <f t="shared" ref="I158:I161" si="17">VLOOKUP(A158,$A$28:$J$72,9,FALSE)</f>
        <v>12</v>
      </c>
      <c r="J158" s="14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6" t="str">
        <f t="shared" si="14"/>
        <v>Приобретение и установка ОДПУ ХВС.</v>
      </c>
      <c r="B159" s="146"/>
      <c r="C159" s="146"/>
      <c r="D159" s="146"/>
      <c r="E159" s="146"/>
      <c r="F159" s="147">
        <f t="shared" si="15"/>
        <v>2035.72</v>
      </c>
      <c r="G159" s="147"/>
      <c r="H159" s="24" t="str">
        <f t="shared" si="16"/>
        <v>разово</v>
      </c>
      <c r="I159" s="148">
        <f t="shared" si="17"/>
        <v>1</v>
      </c>
      <c r="J159" s="148"/>
      <c r="M159" s="22" t="s">
        <v>72</v>
      </c>
      <c r="N159" s="1" t="str">
        <v>Приобретение и установка ОДПУ ХВС.</v>
      </c>
    </row>
    <row r="160" spans="1:15" ht="28.5" customHeight="1">
      <c r="A160" s="146" t="str">
        <f t="shared" si="14"/>
        <v>Приобретение и установка таблички по пожарной безопасности.</v>
      </c>
      <c r="B160" s="146"/>
      <c r="C160" s="146"/>
      <c r="D160" s="146"/>
      <c r="E160" s="146"/>
      <c r="F160" s="147">
        <f t="shared" si="15"/>
        <v>250</v>
      </c>
      <c r="G160" s="147"/>
      <c r="H160" s="24" t="str">
        <f t="shared" si="16"/>
        <v>разово</v>
      </c>
      <c r="I160" s="148">
        <f t="shared" si="17"/>
        <v>1</v>
      </c>
      <c r="J160" s="148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6" t="str">
        <f>IF(N161&gt;0,N161,0)</f>
        <v>Изготовление баннера на откатные ворота.</v>
      </c>
      <c r="B161" s="146"/>
      <c r="C161" s="146"/>
      <c r="D161" s="146"/>
      <c r="E161" s="146"/>
      <c r="F161" s="147">
        <f t="shared" si="15"/>
        <v>1266</v>
      </c>
      <c r="G161" s="147"/>
      <c r="H161" s="24" t="str">
        <f t="shared" si="16"/>
        <v>разово</v>
      </c>
      <c r="I161" s="148">
        <f t="shared" si="17"/>
        <v>1</v>
      </c>
      <c r="J161" s="148"/>
      <c r="M161" s="22" t="s">
        <v>72</v>
      </c>
      <c r="N161" s="1" t="str">
        <v>Изготовление баннера на откатные ворота.</v>
      </c>
    </row>
    <row r="162" spans="1:14" ht="28.5" customHeight="1">
      <c r="A162" s="146" t="str">
        <f t="shared" si="14"/>
        <v>Замена прибора учета электрической энергии.</v>
      </c>
      <c r="B162" s="146"/>
      <c r="C162" s="146"/>
      <c r="D162" s="146"/>
      <c r="E162" s="146"/>
      <c r="F162" s="147">
        <f t="shared" si="15"/>
        <v>7209</v>
      </c>
      <c r="G162" s="147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72</v>
      </c>
      <c r="N162" s="1" t="str">
        <v>Замена прибора учета электрической энергии.</v>
      </c>
    </row>
    <row r="163" spans="1:14" ht="28.5" customHeight="1">
      <c r="A163" s="146" t="str">
        <f t="shared" si="14"/>
        <v>Монтаж системы видеонаблюдения.</v>
      </c>
      <c r="B163" s="146"/>
      <c r="C163" s="146"/>
      <c r="D163" s="146"/>
      <c r="E163" s="146"/>
      <c r="F163" s="147">
        <f t="shared" si="15"/>
        <v>37930</v>
      </c>
      <c r="G163" s="147"/>
      <c r="H163" s="24" t="str">
        <f t="shared" si="16"/>
        <v>разово</v>
      </c>
      <c r="I163" s="148">
        <f>VLOOKUP(A163,$A$28:$J$72,9,FALSE)</f>
        <v>1</v>
      </c>
      <c r="J163" s="148"/>
      <c r="M163" s="22" t="s">
        <v>72</v>
      </c>
      <c r="N163" s="1" t="str">
        <v>Монтаж системы видеонаблюдения.</v>
      </c>
    </row>
    <row r="164" spans="1:14" ht="28.5" customHeight="1">
      <c r="A164" s="146" t="str">
        <f t="shared" ref="A164:A187" si="18">IF(N164&gt;0,N164,0)</f>
        <v>Ремонт подъезда.</v>
      </c>
      <c r="B164" s="146"/>
      <c r="C164" s="146"/>
      <c r="D164" s="146"/>
      <c r="E164" s="146"/>
      <c r="F164" s="147">
        <f t="shared" ref="F164:F187" si="19">IF(ISERROR(VLOOKUP(A164,$A$28:$J$72,6,FALSE)),0,VLOOKUP(A164,$A$28:$J$72,6,FALSE))</f>
        <v>158725</v>
      </c>
      <c r="G164" s="147"/>
      <c r="H164" s="29" t="str">
        <f t="shared" si="16"/>
        <v>разово</v>
      </c>
      <c r="I164" s="148">
        <f t="shared" ref="I164:I187" si="20">VLOOKUP(A164,$A$28:$J$72,9,FALSE)</f>
        <v>1</v>
      </c>
      <c r="J164" s="148"/>
      <c r="M164" s="22" t="s">
        <v>72</v>
      </c>
      <c r="N164" s="1" t="str">
        <v>Ремонт подъезда.</v>
      </c>
    </row>
    <row r="165" spans="1:14" ht="28.5" customHeight="1">
      <c r="A165" s="146" t="str">
        <f t="shared" si="18"/>
        <v>Ремонт блока управления откатных ворот.</v>
      </c>
      <c r="B165" s="146"/>
      <c r="C165" s="146"/>
      <c r="D165" s="146"/>
      <c r="E165" s="146"/>
      <c r="F165" s="147">
        <f t="shared" si="19"/>
        <v>5000</v>
      </c>
      <c r="G165" s="147"/>
      <c r="H165" s="29" t="str">
        <f t="shared" si="16"/>
        <v>разово</v>
      </c>
      <c r="I165" s="148">
        <f t="shared" si="20"/>
        <v>1</v>
      </c>
      <c r="J165" s="148"/>
      <c r="M165" s="22" t="s">
        <v>72</v>
      </c>
      <c r="N165" s="1" t="str">
        <v>Ремонт блока управления откатных ворот.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47">
        <f t="shared" si="19"/>
        <v>0</v>
      </c>
      <c r="G166" s="147"/>
      <c r="H166" s="29" t="e">
        <f t="shared" si="16"/>
        <v>#N/A</v>
      </c>
      <c r="I166" s="148" t="e">
        <f t="shared" si="20"/>
        <v>#N/A</v>
      </c>
      <c r="J166" s="148"/>
      <c r="M166" s="22" t="s">
        <v>72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47">
        <f t="shared" si="19"/>
        <v>0</v>
      </c>
      <c r="G167" s="147"/>
      <c r="H167" s="29" t="e">
        <f t="shared" si="16"/>
        <v>#N/A</v>
      </c>
      <c r="I167" s="148" t="e">
        <f t="shared" si="20"/>
        <v>#N/A</v>
      </c>
      <c r="J167" s="148"/>
      <c r="M167" s="22" t="s">
        <v>72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47">
        <f t="shared" si="19"/>
        <v>0</v>
      </c>
      <c r="G168" s="147"/>
      <c r="H168" s="29" t="e">
        <f t="shared" si="16"/>
        <v>#N/A</v>
      </c>
      <c r="I168" s="148" t="e">
        <f t="shared" si="20"/>
        <v>#N/A</v>
      </c>
      <c r="J168" s="148"/>
      <c r="M168" s="22" t="s">
        <v>72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47">
        <f t="shared" si="19"/>
        <v>0</v>
      </c>
      <c r="G169" s="147"/>
      <c r="H169" s="29" t="e">
        <f t="shared" si="16"/>
        <v>#N/A</v>
      </c>
      <c r="I169" s="148" t="e">
        <f t="shared" si="20"/>
        <v>#N/A</v>
      </c>
      <c r="J169" s="148"/>
      <c r="M169" s="22" t="s">
        <v>72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47">
        <f t="shared" si="19"/>
        <v>0</v>
      </c>
      <c r="G170" s="147"/>
      <c r="H170" s="29" t="e">
        <f t="shared" si="16"/>
        <v>#N/A</v>
      </c>
      <c r="I170" s="148" t="e">
        <f t="shared" si="20"/>
        <v>#N/A</v>
      </c>
      <c r="J170" s="148"/>
      <c r="M170" s="22" t="s">
        <v>72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47">
        <f t="shared" si="19"/>
        <v>0</v>
      </c>
      <c r="G171" s="147"/>
      <c r="H171" s="29" t="e">
        <f t="shared" si="16"/>
        <v>#N/A</v>
      </c>
      <c r="I171" s="148" t="e">
        <f t="shared" si="20"/>
        <v>#N/A</v>
      </c>
      <c r="J171" s="148"/>
      <c r="M171" s="22" t="s">
        <v>72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47">
        <f t="shared" si="19"/>
        <v>0</v>
      </c>
      <c r="G172" s="147"/>
      <c r="H172" s="29" t="e">
        <f t="shared" si="16"/>
        <v>#N/A</v>
      </c>
      <c r="I172" s="148" t="e">
        <f t="shared" si="20"/>
        <v>#N/A</v>
      </c>
      <c r="J172" s="148"/>
      <c r="M172" s="22" t="s">
        <v>72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47">
        <f t="shared" si="19"/>
        <v>0</v>
      </c>
      <c r="G173" s="147"/>
      <c r="H173" s="29" t="e">
        <f t="shared" si="16"/>
        <v>#N/A</v>
      </c>
      <c r="I173" s="148" t="e">
        <f t="shared" si="20"/>
        <v>#N/A</v>
      </c>
      <c r="J173" s="148"/>
      <c r="M173" s="22" t="s">
        <v>72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47">
        <f t="shared" si="19"/>
        <v>0</v>
      </c>
      <c r="G174" s="147"/>
      <c r="H174" s="29" t="e">
        <f t="shared" si="16"/>
        <v>#N/A</v>
      </c>
      <c r="I174" s="148" t="e">
        <f t="shared" si="20"/>
        <v>#N/A</v>
      </c>
      <c r="J174" s="148"/>
      <c r="M174" s="22" t="s">
        <v>72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47">
        <f t="shared" si="19"/>
        <v>0</v>
      </c>
      <c r="G175" s="147"/>
      <c r="H175" s="29" t="e">
        <f t="shared" si="16"/>
        <v>#N/A</v>
      </c>
      <c r="I175" s="148" t="e">
        <f t="shared" si="20"/>
        <v>#N/A</v>
      </c>
      <c r="J175" s="148"/>
      <c r="M175" s="22" t="s">
        <v>72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47">
        <f t="shared" si="19"/>
        <v>0</v>
      </c>
      <c r="G176" s="147"/>
      <c r="H176" s="29" t="e">
        <f t="shared" si="16"/>
        <v>#N/A</v>
      </c>
      <c r="I176" s="148" t="e">
        <f t="shared" si="20"/>
        <v>#N/A</v>
      </c>
      <c r="J176" s="148"/>
      <c r="M176" s="22" t="s">
        <v>72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47">
        <f t="shared" si="19"/>
        <v>0</v>
      </c>
      <c r="G177" s="147"/>
      <c r="H177" s="29" t="e">
        <f t="shared" si="16"/>
        <v>#N/A</v>
      </c>
      <c r="I177" s="148" t="e">
        <f t="shared" si="20"/>
        <v>#N/A</v>
      </c>
      <c r="J177" s="148"/>
      <c r="M177" s="22" t="s">
        <v>72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47">
        <f t="shared" si="19"/>
        <v>0</v>
      </c>
      <c r="G178" s="147"/>
      <c r="H178" s="29" t="e">
        <f t="shared" si="16"/>
        <v>#N/A</v>
      </c>
      <c r="I178" s="148" t="e">
        <f t="shared" si="20"/>
        <v>#N/A</v>
      </c>
      <c r="J178" s="148"/>
      <c r="M178" s="22" t="s">
        <v>72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47">
        <f t="shared" si="19"/>
        <v>0</v>
      </c>
      <c r="G179" s="147"/>
      <c r="H179" s="29" t="e">
        <f t="shared" si="16"/>
        <v>#N/A</v>
      </c>
      <c r="I179" s="148" t="e">
        <f t="shared" si="20"/>
        <v>#N/A</v>
      </c>
      <c r="J179" s="148"/>
      <c r="M179" s="22" t="s">
        <v>72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47">
        <f t="shared" si="19"/>
        <v>0</v>
      </c>
      <c r="G180" s="147"/>
      <c r="H180" s="29" t="e">
        <f t="shared" si="16"/>
        <v>#N/A</v>
      </c>
      <c r="I180" s="148" t="e">
        <f t="shared" si="20"/>
        <v>#N/A</v>
      </c>
      <c r="J180" s="148"/>
      <c r="M180" s="22" t="s">
        <v>72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47">
        <f t="shared" si="19"/>
        <v>0</v>
      </c>
      <c r="G181" s="147"/>
      <c r="H181" s="29" t="e">
        <f t="shared" si="16"/>
        <v>#N/A</v>
      </c>
      <c r="I181" s="148" t="e">
        <f t="shared" si="20"/>
        <v>#N/A</v>
      </c>
      <c r="J181" s="148"/>
      <c r="M181" s="22" t="s">
        <v>72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47">
        <f t="shared" si="19"/>
        <v>0</v>
      </c>
      <c r="G182" s="147"/>
      <c r="H182" s="29" t="e">
        <f t="shared" si="16"/>
        <v>#N/A</v>
      </c>
      <c r="I182" s="148" t="e">
        <f t="shared" si="20"/>
        <v>#N/A</v>
      </c>
      <c r="J182" s="148"/>
      <c r="M182" s="22" t="s">
        <v>72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47">
        <f t="shared" si="19"/>
        <v>0</v>
      </c>
      <c r="G183" s="147"/>
      <c r="H183" s="29" t="e">
        <f t="shared" si="16"/>
        <v>#N/A</v>
      </c>
      <c r="I183" s="148" t="e">
        <f t="shared" si="20"/>
        <v>#N/A</v>
      </c>
      <c r="J183" s="148"/>
      <c r="M183" s="22" t="s">
        <v>72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47">
        <f t="shared" si="19"/>
        <v>0</v>
      </c>
      <c r="G184" s="147"/>
      <c r="H184" s="29" t="e">
        <f t="shared" si="16"/>
        <v>#N/A</v>
      </c>
      <c r="I184" s="148" t="e">
        <f t="shared" si="20"/>
        <v>#N/A</v>
      </c>
      <c r="J184" s="148"/>
      <c r="M184" s="22" t="s">
        <v>72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47">
        <f t="shared" si="19"/>
        <v>0</v>
      </c>
      <c r="G185" s="147"/>
      <c r="H185" s="29" t="e">
        <f t="shared" si="16"/>
        <v>#N/A</v>
      </c>
      <c r="I185" s="148" t="e">
        <f t="shared" si="20"/>
        <v>#N/A</v>
      </c>
      <c r="J185" s="148"/>
      <c r="M185" s="22" t="s">
        <v>72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47">
        <f t="shared" si="19"/>
        <v>0</v>
      </c>
      <c r="G186" s="147"/>
      <c r="H186" s="29" t="e">
        <f t="shared" si="16"/>
        <v>#N/A</v>
      </c>
      <c r="I186" s="148" t="e">
        <f t="shared" si="20"/>
        <v>#N/A</v>
      </c>
      <c r="J186" s="148"/>
      <c r="M186" s="22" t="s">
        <v>72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47">
        <f t="shared" si="19"/>
        <v>0</v>
      </c>
      <c r="G187" s="147"/>
      <c r="H187" s="29" t="e">
        <f t="shared" si="16"/>
        <v>#N/A</v>
      </c>
      <c r="I187" s="148" t="e">
        <f t="shared" si="20"/>
        <v>#N/A</v>
      </c>
      <c r="J187" s="148"/>
      <c r="M187" s="22" t="s">
        <v>72</v>
      </c>
      <c r="N187" s="1">
        <v>0</v>
      </c>
    </row>
    <row r="188" spans="1:14" ht="29.25" customHeight="1">
      <c r="A188" s="103" t="s">
        <v>173</v>
      </c>
    </row>
    <row r="189" spans="1:14" ht="29.25" customHeight="1">
      <c r="A189" s="103" t="s">
        <v>173</v>
      </c>
    </row>
    <row r="190" spans="1:14" ht="36.75" customHeight="1">
      <c r="A190" s="149" t="s">
        <v>181</v>
      </c>
      <c r="B190" s="149"/>
      <c r="C190" s="149"/>
      <c r="D190" s="149"/>
      <c r="E190" s="27">
        <f>SUM(F158:G187)</f>
        <v>217740.12</v>
      </c>
    </row>
    <row r="191" spans="1:14" ht="51.75" customHeight="1">
      <c r="A191" s="149" t="s">
        <v>182</v>
      </c>
      <c r="B191" s="149"/>
      <c r="C191" s="149"/>
      <c r="D191" s="149"/>
      <c r="E191" s="27">
        <f>E190+E154-E155</f>
        <v>-6764.2599999999948</v>
      </c>
    </row>
    <row r="192" spans="1:14">
      <c r="A192" s="103" t="s">
        <v>173</v>
      </c>
    </row>
    <row r="193" spans="1:10" ht="62.25" customHeight="1">
      <c r="A193" s="174" t="s">
        <v>180</v>
      </c>
      <c r="B193" s="174"/>
      <c r="C193" s="174"/>
      <c r="D193" s="174"/>
      <c r="E193" s="174"/>
      <c r="F193" s="174"/>
      <c r="G193" s="174"/>
      <c r="H193" s="174"/>
      <c r="I193" s="174"/>
      <c r="J193" s="174"/>
    </row>
    <row r="194" spans="1:10">
      <c r="A194" s="173" t="str">
        <f>ПТО!F12</f>
        <v xml:space="preserve">  -  поверка (замена) манометров и термометров</v>
      </c>
      <c r="B194" s="173"/>
      <c r="C194" s="173"/>
      <c r="D194" s="173"/>
      <c r="E194" s="173"/>
      <c r="F194" s="173"/>
      <c r="G194" s="173"/>
      <c r="H194" s="49">
        <f>ПТО!G12</f>
        <v>1200</v>
      </c>
      <c r="I194" s="50" t="s">
        <v>74</v>
      </c>
    </row>
    <row r="195" spans="1:10" ht="18.75" customHeight="1">
      <c r="A195" s="173" t="str">
        <f>ПТО!F13</f>
        <v xml:space="preserve">  -  техническое обслуживание охранной сигнализации</v>
      </c>
      <c r="B195" s="173"/>
      <c r="C195" s="173"/>
      <c r="D195" s="173"/>
      <c r="E195" s="173"/>
      <c r="F195" s="173"/>
      <c r="G195" s="173"/>
      <c r="H195" s="49">
        <f>ПТО!G13</f>
        <v>5450</v>
      </c>
      <c r="I195" s="50" t="s">
        <v>74</v>
      </c>
    </row>
    <row r="196" spans="1:10" ht="18.75" customHeight="1">
      <c r="A196" s="173" t="str">
        <f>ПТО!F14</f>
        <v xml:space="preserve">  -  установка газонного ограждения</v>
      </c>
      <c r="B196" s="173"/>
      <c r="C196" s="173"/>
      <c r="D196" s="173"/>
      <c r="E196" s="173"/>
      <c r="F196" s="173"/>
      <c r="G196" s="173"/>
      <c r="H196" s="49">
        <f>ПТО!G14</f>
        <v>80000</v>
      </c>
      <c r="I196" s="50" t="s">
        <v>74</v>
      </c>
    </row>
    <row r="197" spans="1:10" ht="36.75" hidden="1" customHeight="1">
      <c r="A197" s="173">
        <f>ПТО!F15</f>
        <v>0</v>
      </c>
      <c r="B197" s="173"/>
      <c r="C197" s="173"/>
      <c r="D197" s="173"/>
      <c r="E197" s="173"/>
      <c r="F197" s="173"/>
      <c r="G197" s="173"/>
      <c r="H197" s="49">
        <f>ПТО!G15</f>
        <v>0</v>
      </c>
      <c r="I197" s="50" t="s">
        <v>74</v>
      </c>
    </row>
    <row r="198" spans="1:10" ht="18.75" hidden="1" customHeight="1">
      <c r="A198" s="173">
        <f>ПТО!F16</f>
        <v>0</v>
      </c>
      <c r="B198" s="173"/>
      <c r="C198" s="173"/>
      <c r="D198" s="173"/>
      <c r="E198" s="173"/>
      <c r="F198" s="173"/>
      <c r="G198" s="173"/>
      <c r="H198" s="49">
        <f>ПТО!G16</f>
        <v>0</v>
      </c>
      <c r="I198" s="52" t="s">
        <v>74</v>
      </c>
    </row>
    <row r="199" spans="1:10" ht="18.75" hidden="1" customHeight="1">
      <c r="A199" s="173">
        <f>ПТО!F17</f>
        <v>0</v>
      </c>
      <c r="B199" s="173"/>
      <c r="C199" s="173"/>
      <c r="D199" s="173"/>
      <c r="E199" s="173"/>
      <c r="F199" s="173"/>
      <c r="G199" s="173"/>
      <c r="H199" s="49">
        <f>ПТО!G17</f>
        <v>0</v>
      </c>
      <c r="I199" s="50" t="s">
        <v>74</v>
      </c>
    </row>
    <row r="200" spans="1:10" hidden="1">
      <c r="A200" s="173">
        <f>ПТО!F18</f>
        <v>0</v>
      </c>
      <c r="B200" s="173"/>
      <c r="C200" s="173"/>
      <c r="D200" s="173"/>
      <c r="E200" s="173"/>
      <c r="F200" s="173"/>
      <c r="G200" s="173"/>
      <c r="H200" s="49">
        <f>ПТО!G18</f>
        <v>0</v>
      </c>
      <c r="I200" s="50" t="s">
        <v>74</v>
      </c>
    </row>
    <row r="201" spans="1:10" hidden="1">
      <c r="A201" s="173">
        <f>ПТО!F19</f>
        <v>0</v>
      </c>
      <c r="B201" s="173"/>
      <c r="C201" s="173"/>
      <c r="D201" s="173"/>
      <c r="E201" s="173"/>
      <c r="F201" s="173"/>
      <c r="G201" s="173"/>
      <c r="H201" s="49">
        <f>ПТО!G19</f>
        <v>0</v>
      </c>
      <c r="I201" s="50" t="s">
        <v>74</v>
      </c>
    </row>
    <row r="202" spans="1:10" hidden="1">
      <c r="A202" s="173">
        <f>ПТО!F20</f>
        <v>0</v>
      </c>
      <c r="B202" s="173"/>
      <c r="C202" s="173"/>
      <c r="D202" s="173"/>
      <c r="E202" s="173"/>
      <c r="F202" s="173"/>
      <c r="G202" s="173"/>
      <c r="H202" s="49">
        <f>ПТО!G20</f>
        <v>0</v>
      </c>
      <c r="I202" s="50" t="s">
        <v>74</v>
      </c>
    </row>
    <row r="203" spans="1:10" hidden="1">
      <c r="A203" s="173">
        <f>ПТО!F21</f>
        <v>0</v>
      </c>
      <c r="B203" s="173"/>
      <c r="C203" s="173"/>
      <c r="D203" s="173"/>
      <c r="E203" s="173"/>
      <c r="F203" s="173"/>
      <c r="G203" s="173"/>
      <c r="H203" s="49">
        <f>ПТО!G21</f>
        <v>0</v>
      </c>
      <c r="I203" s="50" t="s">
        <v>74</v>
      </c>
    </row>
    <row r="204" spans="1:10" hidden="1">
      <c r="A204" s="173">
        <f>ПТО!F22</f>
        <v>0</v>
      </c>
      <c r="B204" s="173"/>
      <c r="C204" s="173"/>
      <c r="D204" s="173"/>
      <c r="E204" s="173"/>
      <c r="F204" s="173"/>
      <c r="G204" s="173"/>
      <c r="H204" s="49">
        <f>ПТО!G22</f>
        <v>0</v>
      </c>
      <c r="I204" s="50" t="s">
        <v>74</v>
      </c>
    </row>
    <row r="205" spans="1:10" hidden="1">
      <c r="A205" s="173">
        <f>ПТО!F23</f>
        <v>0</v>
      </c>
      <c r="B205" s="173"/>
      <c r="C205" s="173"/>
      <c r="D205" s="173"/>
      <c r="E205" s="173"/>
      <c r="F205" s="173"/>
      <c r="G205" s="173"/>
      <c r="H205" s="49">
        <f>ПТО!G23</f>
        <v>0</v>
      </c>
      <c r="I205" s="50" t="s">
        <v>74</v>
      </c>
    </row>
    <row r="206" spans="1:10" hidden="1">
      <c r="A206" s="173">
        <f>ПТО!F24</f>
        <v>0</v>
      </c>
      <c r="B206" s="173"/>
      <c r="C206" s="173"/>
      <c r="D206" s="173"/>
      <c r="E206" s="173"/>
      <c r="F206" s="173"/>
      <c r="G206" s="173"/>
      <c r="H206" s="49">
        <f>ПТО!G24</f>
        <v>0</v>
      </c>
      <c r="I206" s="50" t="s">
        <v>74</v>
      </c>
    </row>
    <row r="207" spans="1:10" hidden="1">
      <c r="A207" s="173">
        <f>ПТО!F25</f>
        <v>0</v>
      </c>
      <c r="B207" s="173"/>
      <c r="C207" s="173"/>
      <c r="D207" s="173"/>
      <c r="E207" s="173"/>
      <c r="F207" s="173"/>
      <c r="G207" s="173"/>
      <c r="H207" s="49">
        <f>ПТО!G25</f>
        <v>0</v>
      </c>
      <c r="I207" s="50" t="s">
        <v>74</v>
      </c>
    </row>
    <row r="208" spans="1:10" hidden="1">
      <c r="A208" s="173">
        <f>ПТО!F26</f>
        <v>0</v>
      </c>
      <c r="B208" s="173"/>
      <c r="C208" s="173"/>
      <c r="D208" s="173"/>
      <c r="E208" s="173"/>
      <c r="F208" s="173"/>
      <c r="G208" s="173"/>
      <c r="H208" s="49">
        <f>ПТО!G26</f>
        <v>0</v>
      </c>
      <c r="I208" s="50" t="s">
        <v>74</v>
      </c>
    </row>
    <row r="209" spans="1:9" hidden="1">
      <c r="A209" s="173">
        <f>ПТО!F27</f>
        <v>0</v>
      </c>
      <c r="B209" s="173"/>
      <c r="C209" s="173"/>
      <c r="D209" s="173"/>
      <c r="E209" s="173"/>
      <c r="F209" s="173"/>
      <c r="G209" s="173"/>
      <c r="H209" s="49">
        <f>ПТО!G27</f>
        <v>0</v>
      </c>
      <c r="I209" s="50" t="s">
        <v>74</v>
      </c>
    </row>
    <row r="210" spans="1:9" hidden="1">
      <c r="A210" s="173">
        <f>ПТО!F28</f>
        <v>0</v>
      </c>
      <c r="B210" s="173"/>
      <c r="C210" s="173"/>
      <c r="D210" s="173"/>
      <c r="E210" s="173"/>
      <c r="F210" s="173"/>
      <c r="G210" s="173"/>
      <c r="H210" s="49">
        <f>ПТО!G28</f>
        <v>0</v>
      </c>
      <c r="I210" s="50" t="s">
        <v>74</v>
      </c>
    </row>
    <row r="211" spans="1:9" hidden="1">
      <c r="A211" s="173">
        <f>ПТО!F29</f>
        <v>0</v>
      </c>
      <c r="B211" s="173"/>
      <c r="C211" s="173"/>
      <c r="D211" s="173"/>
      <c r="E211" s="173"/>
      <c r="F211" s="173"/>
      <c r="G211" s="173"/>
      <c r="H211" s="49">
        <f>ПТО!G29</f>
        <v>0</v>
      </c>
      <c r="I211" s="50" t="s">
        <v>74</v>
      </c>
    </row>
    <row r="212" spans="1:9" hidden="1">
      <c r="A212" s="173">
        <f>ПТО!F30</f>
        <v>0</v>
      </c>
      <c r="B212" s="173"/>
      <c r="C212" s="173"/>
      <c r="D212" s="173"/>
      <c r="E212" s="173"/>
      <c r="F212" s="173"/>
      <c r="G212" s="173"/>
      <c r="H212" s="49">
        <f>ПТО!G30</f>
        <v>0</v>
      </c>
      <c r="I212" s="50" t="s">
        <v>74</v>
      </c>
    </row>
    <row r="213" spans="1:9" hidden="1">
      <c r="A213" s="173">
        <f>ПТО!F31</f>
        <v>0</v>
      </c>
      <c r="B213" s="173"/>
      <c r="C213" s="173"/>
      <c r="D213" s="173"/>
      <c r="E213" s="173"/>
      <c r="F213" s="173"/>
      <c r="G213" s="173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86650</v>
      </c>
      <c r="I214" s="56" t="s">
        <v>76</v>
      </c>
    </row>
  </sheetData>
  <sheetProtection algorithmName="SHA-512" hashValue="tk8qwk7a3uFuSgYVGWs7nAb1oftOTd7Wk+UZm2QaeGWvBN7YasEeloCCMtuJkxYlXxkoq2MYDRDTQ8ZnM908Gw==" saltValue="23A77bQvv5GIbmLjwWFwZ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4" t="s">
        <v>19</v>
      </c>
      <c r="B1" s="34" t="s">
        <v>57</v>
      </c>
      <c r="C1" s="34" t="s">
        <v>21</v>
      </c>
      <c r="D1" s="34" t="s">
        <v>20</v>
      </c>
      <c r="E1" s="33"/>
      <c r="F1" s="100" t="s">
        <v>179</v>
      </c>
      <c r="G1" s="121">
        <f>-150615.46</f>
        <v>-150615.46</v>
      </c>
    </row>
    <row r="2" spans="1:12" ht="18.75" customHeight="1">
      <c r="A2" s="122" t="s">
        <v>184</v>
      </c>
      <c r="B2" s="116" t="s">
        <v>175</v>
      </c>
      <c r="C2" s="118">
        <v>12</v>
      </c>
      <c r="D2" s="119">
        <v>5324.4</v>
      </c>
      <c r="E2" s="117"/>
      <c r="F2" s="117"/>
      <c r="G2" s="117"/>
      <c r="L2" s="32" t="str">
        <f t="shared" ref="L2:L22" si="0">IF(A2&gt;0,"ТР",0)</f>
        <v>ТР</v>
      </c>
    </row>
    <row r="3" spans="1:12" ht="18.75" customHeight="1">
      <c r="A3" s="123" t="s">
        <v>185</v>
      </c>
      <c r="B3" s="124" t="s">
        <v>186</v>
      </c>
      <c r="C3" s="118">
        <v>1</v>
      </c>
      <c r="D3" s="120">
        <v>2035.72</v>
      </c>
      <c r="E3" s="125" t="s">
        <v>187</v>
      </c>
      <c r="F3" s="117"/>
      <c r="G3" s="117"/>
      <c r="L3" s="32" t="str">
        <f t="shared" si="0"/>
        <v>ТР</v>
      </c>
    </row>
    <row r="4" spans="1:12" ht="18.75" customHeight="1">
      <c r="A4" s="128" t="s">
        <v>190</v>
      </c>
      <c r="B4" s="129" t="s">
        <v>186</v>
      </c>
      <c r="C4" s="130">
        <v>1</v>
      </c>
      <c r="D4" s="131">
        <v>250</v>
      </c>
      <c r="E4" s="44" t="s">
        <v>191</v>
      </c>
      <c r="F4" s="44"/>
      <c r="G4" s="30"/>
      <c r="L4" s="32" t="str">
        <f t="shared" si="0"/>
        <v>ТР</v>
      </c>
    </row>
    <row r="5" spans="1:12" ht="18.75" customHeight="1">
      <c r="A5" s="44" t="s">
        <v>202</v>
      </c>
      <c r="B5" s="132" t="s">
        <v>186</v>
      </c>
      <c r="C5" s="42">
        <v>1</v>
      </c>
      <c r="D5" s="46">
        <v>1266</v>
      </c>
      <c r="E5" s="133" t="s">
        <v>192</v>
      </c>
      <c r="F5" s="44"/>
      <c r="G5" s="44"/>
      <c r="K5" s="46"/>
      <c r="L5" s="32" t="str">
        <f t="shared" si="0"/>
        <v>ТР</v>
      </c>
    </row>
    <row r="6" spans="1:12" ht="18.75" customHeight="1">
      <c r="A6" s="134" t="s">
        <v>193</v>
      </c>
      <c r="B6" s="135" t="s">
        <v>186</v>
      </c>
      <c r="C6" s="118">
        <v>1</v>
      </c>
      <c r="D6" s="120">
        <v>7209</v>
      </c>
      <c r="E6" s="136" t="s">
        <v>194</v>
      </c>
      <c r="F6" s="44"/>
      <c r="G6" s="44"/>
      <c r="K6" s="46"/>
      <c r="L6" s="32" t="str">
        <f t="shared" si="0"/>
        <v>ТР</v>
      </c>
    </row>
    <row r="7" spans="1:12" ht="18.75" customHeight="1">
      <c r="A7" s="44" t="s">
        <v>196</v>
      </c>
      <c r="B7" s="141" t="s">
        <v>186</v>
      </c>
      <c r="C7" s="42">
        <v>1</v>
      </c>
      <c r="D7" s="43">
        <v>37930</v>
      </c>
      <c r="E7" s="44" t="s">
        <v>197</v>
      </c>
      <c r="F7" s="45"/>
      <c r="G7" s="45"/>
      <c r="K7" s="46"/>
      <c r="L7" s="32" t="str">
        <f t="shared" si="0"/>
        <v>ТР</v>
      </c>
    </row>
    <row r="8" spans="1:12" ht="18.75" customHeight="1">
      <c r="A8" s="137" t="s">
        <v>195</v>
      </c>
      <c r="B8" s="138" t="s">
        <v>186</v>
      </c>
      <c r="C8" s="139">
        <v>1</v>
      </c>
      <c r="D8" s="140">
        <v>158725</v>
      </c>
      <c r="E8" s="142" t="s">
        <v>198</v>
      </c>
      <c r="F8" s="45"/>
      <c r="G8" s="45"/>
      <c r="K8" s="43"/>
      <c r="L8" s="32" t="str">
        <f t="shared" si="0"/>
        <v>ТР</v>
      </c>
    </row>
    <row r="9" spans="1:12">
      <c r="A9" s="44" t="s">
        <v>188</v>
      </c>
      <c r="B9" s="143" t="s">
        <v>186</v>
      </c>
      <c r="C9" s="42">
        <v>1</v>
      </c>
      <c r="D9" s="46">
        <v>5000</v>
      </c>
      <c r="E9" s="44" t="s">
        <v>199</v>
      </c>
      <c r="F9" s="44"/>
      <c r="G9" s="44"/>
      <c r="K9" s="43"/>
      <c r="L9" s="32" t="str">
        <f t="shared" si="0"/>
        <v>ТР</v>
      </c>
    </row>
    <row r="10" spans="1:12">
      <c r="A10" s="137"/>
      <c r="B10" s="138"/>
      <c r="C10" s="139"/>
      <c r="D10" s="140"/>
      <c r="E10" s="137"/>
      <c r="L10" s="32">
        <f t="shared" si="0"/>
        <v>0</v>
      </c>
    </row>
    <row r="11" spans="1:12" ht="94.5">
      <c r="A11" s="137"/>
      <c r="B11" s="138"/>
      <c r="C11" s="139"/>
      <c r="D11" s="140"/>
      <c r="E11" s="137"/>
      <c r="F11" s="110" t="s">
        <v>180</v>
      </c>
      <c r="G11" s="110"/>
      <c r="L11" s="32">
        <f t="shared" si="0"/>
        <v>0</v>
      </c>
    </row>
    <row r="12" spans="1:12" ht="31.5">
      <c r="A12" s="30"/>
      <c r="F12" s="111" t="s">
        <v>73</v>
      </c>
      <c r="G12" s="112">
        <v>1200</v>
      </c>
      <c r="L12" s="32">
        <f t="shared" si="0"/>
        <v>0</v>
      </c>
    </row>
    <row r="13" spans="1:12" ht="31.5">
      <c r="A13" s="30"/>
      <c r="F13" s="111" t="s">
        <v>178</v>
      </c>
      <c r="G13" s="112">
        <v>5450</v>
      </c>
      <c r="L13" s="32">
        <f t="shared" si="0"/>
        <v>0</v>
      </c>
    </row>
    <row r="14" spans="1:12" ht="15.75">
      <c r="A14" s="30"/>
      <c r="F14" s="111" t="s">
        <v>201</v>
      </c>
      <c r="G14" s="145">
        <v>80000</v>
      </c>
      <c r="L14" s="32">
        <f t="shared" si="0"/>
        <v>0</v>
      </c>
    </row>
    <row r="15" spans="1:12" ht="15.75">
      <c r="A15" s="30"/>
      <c r="F15" s="111"/>
      <c r="G15" s="112"/>
      <c r="L15" s="32">
        <f t="shared" si="0"/>
        <v>0</v>
      </c>
    </row>
    <row r="16" spans="1:12" ht="15.75">
      <c r="A16" s="30"/>
      <c r="F16" s="111"/>
      <c r="G16" s="112"/>
      <c r="L16" s="32">
        <f t="shared" si="0"/>
        <v>0</v>
      </c>
    </row>
    <row r="17" spans="1:12" ht="15.75">
      <c r="A17" s="30"/>
      <c r="F17" s="111"/>
      <c r="G17" s="112"/>
      <c r="L17" s="32">
        <f t="shared" si="0"/>
        <v>0</v>
      </c>
    </row>
    <row r="18" spans="1:12">
      <c r="A18" s="30"/>
      <c r="F18" s="102"/>
      <c r="L18" s="32">
        <f t="shared" si="0"/>
        <v>0</v>
      </c>
    </row>
    <row r="19" spans="1:12">
      <c r="A19" s="30"/>
      <c r="F19" s="102"/>
      <c r="L19" s="32">
        <f t="shared" si="0"/>
        <v>0</v>
      </c>
    </row>
    <row r="20" spans="1:12">
      <c r="A20" s="30"/>
      <c r="F20" s="102"/>
      <c r="L20" s="32">
        <f t="shared" si="0"/>
        <v>0</v>
      </c>
    </row>
    <row r="21" spans="1:12">
      <c r="F21" s="102"/>
      <c r="L21" s="32">
        <f t="shared" si="0"/>
        <v>0</v>
      </c>
    </row>
    <row r="22" spans="1:12">
      <c r="F22" s="102"/>
      <c r="L22" s="32">
        <f t="shared" si="0"/>
        <v>0</v>
      </c>
    </row>
    <row r="23" spans="1:12">
      <c r="F23" s="102"/>
      <c r="L23" s="32">
        <f t="shared" ref="L23:L31" si="1">IF(A23&gt;0,"ТР",0)</f>
        <v>0</v>
      </c>
    </row>
    <row r="24" spans="1:12">
      <c r="F24" s="102"/>
      <c r="L24" s="32">
        <f t="shared" si="1"/>
        <v>0</v>
      </c>
    </row>
    <row r="25" spans="1:12">
      <c r="F25" s="102"/>
      <c r="L25" s="32">
        <f t="shared" si="1"/>
        <v>0</v>
      </c>
    </row>
    <row r="26" spans="1:12">
      <c r="F26" s="102"/>
      <c r="L26" s="32">
        <f t="shared" si="1"/>
        <v>0</v>
      </c>
    </row>
    <row r="27" spans="1:12">
      <c r="F27" s="102"/>
      <c r="L27" s="32">
        <f t="shared" si="1"/>
        <v>0</v>
      </c>
    </row>
    <row r="28" spans="1:12">
      <c r="F28" s="102"/>
      <c r="L28" s="32">
        <f t="shared" si="1"/>
        <v>0</v>
      </c>
    </row>
    <row r="29" spans="1:12">
      <c r="F29" s="102"/>
      <c r="L29" s="32">
        <f t="shared" si="1"/>
        <v>0</v>
      </c>
    </row>
    <row r="30" spans="1:12">
      <c r="F30" s="102"/>
      <c r="L30" s="32">
        <f t="shared" si="1"/>
        <v>0</v>
      </c>
    </row>
    <row r="31" spans="1:12">
      <c r="L31" s="32">
        <f t="shared" si="1"/>
        <v>0</v>
      </c>
    </row>
    <row r="32" spans="1:12" ht="36.75" customHeight="1">
      <c r="B32" s="34"/>
      <c r="C32" s="34"/>
      <c r="D32" s="34"/>
      <c r="H32" s="99"/>
      <c r="I32" s="99"/>
    </row>
    <row r="39" spans="1:16" ht="31.5" customHeight="1">
      <c r="A39" s="36" t="s">
        <v>22</v>
      </c>
      <c r="B39" s="144">
        <v>13841.52</v>
      </c>
      <c r="C39" s="37" t="s">
        <v>68</v>
      </c>
      <c r="D39" s="38">
        <v>12</v>
      </c>
      <c r="E39" s="33"/>
      <c r="J39" s="35"/>
      <c r="L39" s="39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0">
        <f>B39</f>
        <v>13841.52</v>
      </c>
      <c r="O39" s="40" t="str">
        <f>C39</f>
        <v>Ежемесячно</v>
      </c>
      <c r="P39">
        <f>D39</f>
        <v>12</v>
      </c>
    </row>
    <row r="40" spans="1:16" ht="31.5" customHeight="1">
      <c r="A40" s="36" t="s">
        <v>200</v>
      </c>
      <c r="B40" s="37">
        <v>66546</v>
      </c>
      <c r="C40" s="37" t="s">
        <v>68</v>
      </c>
      <c r="D40" s="38">
        <v>12</v>
      </c>
      <c r="E40" s="33"/>
      <c r="J40" s="35"/>
      <c r="L40" s="39" t="str">
        <f t="shared" ref="L40:L53" si="2">IF(A40&gt;0,"СОД",0)</f>
        <v>СОД</v>
      </c>
      <c r="M40" t="str">
        <f t="shared" ref="M40:M53" si="3">A40</f>
        <v>Работы и услуги по управлению МКД</v>
      </c>
      <c r="N40" s="40">
        <f t="shared" ref="N40:N53" si="4">B40</f>
        <v>66546</v>
      </c>
      <c r="O40" s="40" t="str">
        <f t="shared" ref="O40:O53" si="5">C40</f>
        <v>Ежемесячно</v>
      </c>
      <c r="P40">
        <f t="shared" ref="P40:P53" si="6">D40</f>
        <v>12</v>
      </c>
    </row>
    <row r="41" spans="1:16" ht="51">
      <c r="A41" s="36" t="s">
        <v>26</v>
      </c>
      <c r="B41" s="144">
        <v>27550.080000000002</v>
      </c>
      <c r="C41" s="37" t="s">
        <v>69</v>
      </c>
      <c r="D41" s="38">
        <v>12</v>
      </c>
      <c r="E41" s="33"/>
      <c r="J41" s="35"/>
      <c r="L41" s="39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0">
        <f t="shared" si="4"/>
        <v>27550.080000000002</v>
      </c>
      <c r="O41" s="40" t="str">
        <f t="shared" si="5"/>
        <v>В соответствии с графиком</v>
      </c>
      <c r="P41">
        <f t="shared" si="6"/>
        <v>12</v>
      </c>
    </row>
    <row r="42" spans="1:16" ht="25.5">
      <c r="A42" s="36" t="s">
        <v>23</v>
      </c>
      <c r="B42" s="144">
        <v>15971.04</v>
      </c>
      <c r="C42" s="37" t="s">
        <v>68</v>
      </c>
      <c r="D42" s="38">
        <v>12</v>
      </c>
      <c r="E42" s="33"/>
      <c r="J42" s="35"/>
      <c r="L42" s="39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0">
        <f t="shared" si="4"/>
        <v>15971.04</v>
      </c>
      <c r="O42" s="40" t="str">
        <f t="shared" si="5"/>
        <v>Ежемесячно</v>
      </c>
      <c r="P42">
        <f t="shared" si="6"/>
        <v>12</v>
      </c>
    </row>
    <row r="43" spans="1:16" ht="15.75">
      <c r="A43" s="36"/>
      <c r="B43" s="37"/>
      <c r="C43" s="37"/>
      <c r="D43" s="38"/>
      <c r="E43" s="33"/>
      <c r="J43" s="35"/>
      <c r="L43" s="39">
        <f t="shared" si="2"/>
        <v>0</v>
      </c>
      <c r="M43">
        <f t="shared" si="3"/>
        <v>0</v>
      </c>
      <c r="N43" s="40">
        <f t="shared" si="4"/>
        <v>0</v>
      </c>
      <c r="O43" s="40">
        <f t="shared" si="5"/>
        <v>0</v>
      </c>
      <c r="P43">
        <f t="shared" si="6"/>
        <v>0</v>
      </c>
    </row>
    <row r="44" spans="1:16" ht="25.5">
      <c r="A44" s="36" t="s">
        <v>24</v>
      </c>
      <c r="B44" s="144">
        <v>6787.68</v>
      </c>
      <c r="C44" s="37" t="s">
        <v>70</v>
      </c>
      <c r="D44" s="38">
        <v>12</v>
      </c>
      <c r="E44" s="33"/>
      <c r="J44" s="35"/>
      <c r="L44" s="39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0">
        <f t="shared" si="4"/>
        <v>6787.68</v>
      </c>
      <c r="O44" s="40" t="str">
        <f t="shared" si="5"/>
        <v>Круглосуточно</v>
      </c>
      <c r="P44">
        <f t="shared" si="6"/>
        <v>12</v>
      </c>
    </row>
    <row r="45" spans="1:16" ht="25.5">
      <c r="A45" s="36" t="s">
        <v>25</v>
      </c>
      <c r="B45" s="144">
        <v>30611.159999999996</v>
      </c>
      <c r="C45" s="37" t="s">
        <v>69</v>
      </c>
      <c r="D45" s="38">
        <v>12</v>
      </c>
      <c r="E45" s="33"/>
      <c r="J45" s="35"/>
      <c r="L45" s="39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0">
        <f t="shared" si="4"/>
        <v>30611.159999999996</v>
      </c>
      <c r="O45" s="40" t="str">
        <f t="shared" si="5"/>
        <v>В соответствии с графиком</v>
      </c>
      <c r="P45">
        <f t="shared" si="6"/>
        <v>12</v>
      </c>
    </row>
    <row r="46" spans="1:16">
      <c r="A46" s="36"/>
      <c r="B46" s="37"/>
      <c r="C46" s="37"/>
      <c r="D46" s="48"/>
      <c r="L46" s="39">
        <f t="shared" si="2"/>
        <v>0</v>
      </c>
      <c r="M46">
        <f t="shared" si="3"/>
        <v>0</v>
      </c>
      <c r="N46" s="40">
        <f t="shared" si="4"/>
        <v>0</v>
      </c>
      <c r="O46" s="40">
        <f t="shared" si="5"/>
        <v>0</v>
      </c>
      <c r="P46">
        <f t="shared" si="6"/>
        <v>0</v>
      </c>
    </row>
    <row r="47" spans="1:16">
      <c r="L47" s="39">
        <f t="shared" si="2"/>
        <v>0</v>
      </c>
      <c r="M47">
        <f t="shared" si="3"/>
        <v>0</v>
      </c>
      <c r="N47" s="40">
        <f t="shared" si="4"/>
        <v>0</v>
      </c>
      <c r="O47" s="40">
        <f t="shared" si="5"/>
        <v>0</v>
      </c>
      <c r="P47">
        <f t="shared" si="6"/>
        <v>0</v>
      </c>
    </row>
    <row r="48" spans="1:16">
      <c r="L48" s="39">
        <f t="shared" si="2"/>
        <v>0</v>
      </c>
      <c r="M48">
        <f t="shared" si="3"/>
        <v>0</v>
      </c>
      <c r="N48" s="40">
        <f t="shared" si="4"/>
        <v>0</v>
      </c>
      <c r="O48" s="40">
        <f t="shared" si="5"/>
        <v>0</v>
      </c>
      <c r="P48">
        <f t="shared" si="6"/>
        <v>0</v>
      </c>
    </row>
    <row r="49" spans="12:16">
      <c r="L49" s="39">
        <f t="shared" si="2"/>
        <v>0</v>
      </c>
      <c r="M49">
        <f t="shared" si="3"/>
        <v>0</v>
      </c>
      <c r="N49" s="40">
        <f t="shared" si="4"/>
        <v>0</v>
      </c>
      <c r="O49" s="40">
        <f t="shared" si="5"/>
        <v>0</v>
      </c>
      <c r="P49">
        <f t="shared" si="6"/>
        <v>0</v>
      </c>
    </row>
    <row r="50" spans="12:16">
      <c r="L50" s="39">
        <f t="shared" si="2"/>
        <v>0</v>
      </c>
      <c r="M50">
        <f t="shared" si="3"/>
        <v>0</v>
      </c>
      <c r="N50" s="40">
        <f t="shared" si="4"/>
        <v>0</v>
      </c>
      <c r="O50" s="40">
        <f t="shared" si="5"/>
        <v>0</v>
      </c>
      <c r="P50">
        <f t="shared" si="6"/>
        <v>0</v>
      </c>
    </row>
    <row r="51" spans="12:16">
      <c r="L51" s="39">
        <f t="shared" si="2"/>
        <v>0</v>
      </c>
      <c r="M51">
        <f t="shared" si="3"/>
        <v>0</v>
      </c>
      <c r="N51" s="40">
        <f t="shared" si="4"/>
        <v>0</v>
      </c>
      <c r="O51" s="40">
        <f t="shared" si="5"/>
        <v>0</v>
      </c>
      <c r="P51">
        <f t="shared" si="6"/>
        <v>0</v>
      </c>
    </row>
    <row r="52" spans="12:16">
      <c r="L52" s="39">
        <f t="shared" si="2"/>
        <v>0</v>
      </c>
      <c r="M52">
        <f t="shared" si="3"/>
        <v>0</v>
      </c>
      <c r="N52" s="40">
        <f t="shared" si="4"/>
        <v>0</v>
      </c>
      <c r="O52" s="40">
        <f t="shared" si="5"/>
        <v>0</v>
      </c>
      <c r="P52">
        <f t="shared" si="6"/>
        <v>0</v>
      </c>
    </row>
    <row r="53" spans="12:16">
      <c r="L53" s="39">
        <f t="shared" si="2"/>
        <v>0</v>
      </c>
      <c r="M53">
        <f t="shared" si="3"/>
        <v>0</v>
      </c>
      <c r="N53" s="40">
        <f t="shared" si="4"/>
        <v>0</v>
      </c>
      <c r="O53" s="40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1"/>
      <c r="E66" s="49"/>
      <c r="F66" s="50"/>
      <c r="G66" s="101"/>
      <c r="H66" s="101"/>
      <c r="I66" s="101"/>
      <c r="J66" s="101"/>
      <c r="M66" s="1"/>
    </row>
    <row r="67" spans="4:13" ht="18.75" customHeight="1">
      <c r="D67" s="101"/>
      <c r="E67" s="49"/>
      <c r="F67" s="50"/>
      <c r="G67" s="101"/>
      <c r="H67" s="101"/>
      <c r="I67" s="101"/>
      <c r="J67" s="101"/>
      <c r="M67" s="1"/>
    </row>
    <row r="68" spans="4:13" ht="18.75" customHeight="1">
      <c r="D68" s="101"/>
      <c r="E68" s="49"/>
      <c r="F68" s="50"/>
      <c r="G68" s="101"/>
      <c r="H68" s="101"/>
      <c r="I68" s="101"/>
      <c r="J68" s="101"/>
      <c r="M68" s="1"/>
    </row>
    <row r="69" spans="4:13" ht="18.75" customHeight="1">
      <c r="D69" s="101"/>
      <c r="E69" s="49"/>
      <c r="F69" s="50"/>
      <c r="G69" s="101"/>
      <c r="H69" s="101"/>
      <c r="I69" s="101"/>
      <c r="J69" s="101"/>
      <c r="M69" s="1"/>
    </row>
    <row r="70" spans="4:13" ht="18.75" customHeight="1">
      <c r="D70" s="101"/>
      <c r="E70" s="51"/>
      <c r="F70" s="52"/>
      <c r="G70" s="101"/>
      <c r="H70" s="101"/>
      <c r="I70" s="101"/>
      <c r="J70" s="101"/>
      <c r="M70" s="1"/>
    </row>
    <row r="71" spans="4:13" ht="18.75" customHeight="1">
      <c r="D71" s="101"/>
      <c r="E71" s="49"/>
      <c r="F71" s="50"/>
      <c r="G71" s="101"/>
      <c r="H71" s="101"/>
      <c r="I71" s="101"/>
      <c r="J71" s="101"/>
      <c r="M71" s="1"/>
    </row>
  </sheetData>
  <sheetProtection algorithmName="SHA-512" hashValue="Z7FqvvELqJKIPT+/3mm8vgr3JCRTvly7laDrS7/YG66/KqBJcF5fRu1xIgeS8EkHcLE+JGIWShecw0/UT7gcEg==" saltValue="UVnFEt4XEKGl5PfAR1SBL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1129.8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27">
        <v>5.45</v>
      </c>
      <c r="F2" s="126" t="s">
        <v>189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140937.82999999999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243715.43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102246.69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F1*5.45*12</f>
        <v>73888.92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67579.820000000007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211582.28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211582.28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211582.28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173070.98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7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7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7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7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6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6"/>
      <c r="N26" s="63"/>
    </row>
    <row r="27" spans="1:15" ht="18.75" customHeight="1">
      <c r="A27" s="70" t="s">
        <v>104</v>
      </c>
      <c r="B27" s="75" t="s">
        <v>4</v>
      </c>
      <c r="C27" s="86">
        <v>168982.06</v>
      </c>
      <c r="D27" s="81" t="s">
        <v>60</v>
      </c>
      <c r="E27" s="64"/>
      <c r="F27" s="64"/>
      <c r="G27" s="64"/>
      <c r="H27" s="64"/>
      <c r="I27" s="64"/>
      <c r="J27" s="64"/>
      <c r="M27" s="176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6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6"/>
      <c r="N29" s="63"/>
    </row>
    <row r="30" spans="1:15" ht="18.75" customHeight="1">
      <c r="A30" s="70" t="s">
        <v>107</v>
      </c>
      <c r="B30" s="75" t="s">
        <v>18</v>
      </c>
      <c r="C30" s="86">
        <v>145831.70000000001</v>
      </c>
      <c r="D30" s="81" t="s">
        <v>66</v>
      </c>
      <c r="E30" s="64"/>
      <c r="F30" s="64"/>
      <c r="G30" s="64"/>
      <c r="H30" s="64"/>
      <c r="I30" s="64"/>
      <c r="J30" s="64"/>
      <c r="M30" s="176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6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6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6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6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29206.090000000004</v>
      </c>
      <c r="F37" s="94" t="s">
        <v>166</v>
      </c>
      <c r="G37" s="66"/>
      <c r="H37" s="66"/>
      <c r="I37" s="66"/>
      <c r="L37" s="63"/>
      <c r="M37" s="175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25619.377192982462</v>
      </c>
      <c r="D38" s="94" t="s">
        <v>164</v>
      </c>
      <c r="E38" s="68"/>
      <c r="G38" s="67"/>
      <c r="H38" s="67"/>
      <c r="L38" s="63"/>
      <c r="M38" s="175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30599.550000000003</v>
      </c>
      <c r="D39" s="94" t="s">
        <v>165</v>
      </c>
      <c r="E39" s="68"/>
      <c r="G39" s="67"/>
      <c r="H39" s="67"/>
      <c r="L39" s="63"/>
      <c r="M39" s="175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5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29206.090000000004</v>
      </c>
      <c r="D41" s="80" t="s">
        <v>59</v>
      </c>
      <c r="E41" s="68"/>
      <c r="G41" s="67"/>
      <c r="H41" s="67"/>
      <c r="L41" s="63"/>
      <c r="M41" s="175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29206.090000000004</v>
      </c>
      <c r="D42" s="80" t="s">
        <v>59</v>
      </c>
      <c r="E42" s="68"/>
      <c r="G42" s="67"/>
      <c r="H42" s="67"/>
      <c r="L42" s="63"/>
      <c r="M42" s="175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5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5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23395.050000000003</v>
      </c>
      <c r="F45" s="94" t="s">
        <v>166</v>
      </c>
      <c r="G45" s="66"/>
      <c r="H45" s="66"/>
      <c r="L45" s="63"/>
      <c r="M45" s="175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1729.1241685144128</v>
      </c>
      <c r="D46" s="94" t="s">
        <v>167</v>
      </c>
      <c r="E46" s="68"/>
      <c r="G46" s="67"/>
      <c r="H46" s="67"/>
      <c r="L46" s="63"/>
      <c r="M46" s="175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31324</v>
      </c>
      <c r="D47" s="94" t="s">
        <v>165</v>
      </c>
      <c r="E47" s="68"/>
      <c r="G47" s="67"/>
      <c r="H47" s="67"/>
      <c r="L47" s="63"/>
      <c r="M47" s="175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5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23395.050000000003</v>
      </c>
      <c r="D49" s="80" t="s">
        <v>59</v>
      </c>
      <c r="E49" s="68"/>
      <c r="G49" s="67"/>
      <c r="H49" s="67"/>
      <c r="L49" s="63"/>
      <c r="M49" s="175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23395.050000000003</v>
      </c>
      <c r="D50" s="80" t="s">
        <v>59</v>
      </c>
      <c r="E50" s="68"/>
      <c r="G50" s="67"/>
      <c r="H50" s="67"/>
      <c r="L50" s="63"/>
      <c r="M50" s="175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5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5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25162.879999999997</v>
      </c>
      <c r="F53" s="94" t="s">
        <v>166</v>
      </c>
      <c r="G53" s="66"/>
      <c r="H53" s="66"/>
      <c r="L53" s="63"/>
      <c r="M53" s="175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1630.7764095917044</v>
      </c>
      <c r="D54" s="94" t="s">
        <v>167</v>
      </c>
      <c r="E54" s="69"/>
      <c r="F54" s="89"/>
      <c r="G54" s="64"/>
      <c r="H54" s="64"/>
      <c r="L54" s="63"/>
      <c r="M54" s="175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33857.070000000007</v>
      </c>
      <c r="D55" s="94" t="s">
        <v>165</v>
      </c>
      <c r="E55" s="69"/>
      <c r="G55" s="64"/>
      <c r="H55" s="64"/>
      <c r="L55" s="63"/>
      <c r="M55" s="175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5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25162.879999999997</v>
      </c>
      <c r="D57" s="80" t="s">
        <v>59</v>
      </c>
      <c r="E57" s="69"/>
      <c r="G57" s="64"/>
      <c r="H57" s="64"/>
      <c r="L57" s="63"/>
      <c r="M57" s="175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25162.879999999997</v>
      </c>
      <c r="D58" s="80" t="s">
        <v>59</v>
      </c>
      <c r="E58" s="69"/>
      <c r="G58" s="64"/>
      <c r="H58" s="64"/>
      <c r="L58" s="63"/>
      <c r="M58" s="175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5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5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I2YnXz34h5khgj+k0S7/TF4ycfdYD5kRKUXTFO6WW/mqpUH4RxUMulpDrLftSKsBuRUkPmNtzW0rrFQN7kCV7A==" saltValue="cDT2JXQWn9/TgB/IUeDIq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4">
        <v>0</v>
      </c>
      <c r="D2" s="106" t="s">
        <v>67</v>
      </c>
      <c r="E2" s="64"/>
      <c r="F2" s="64"/>
      <c r="G2" s="64"/>
      <c r="H2" s="64"/>
      <c r="I2" s="64"/>
      <c r="J2" s="64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4">
        <v>1</v>
      </c>
      <c r="D3" s="106" t="s">
        <v>67</v>
      </c>
      <c r="E3" s="64"/>
      <c r="F3" s="64"/>
      <c r="G3" s="64"/>
      <c r="H3" s="64"/>
      <c r="I3" s="64"/>
      <c r="J3" s="64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5">
        <v>124168.5</v>
      </c>
      <c r="D4" s="106" t="s">
        <v>67</v>
      </c>
      <c r="E4" s="64"/>
      <c r="F4" s="64"/>
      <c r="G4" s="64"/>
      <c r="H4" s="64"/>
      <c r="I4" s="64"/>
      <c r="J4" s="64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2021-03-26T07:13:01Z</dcterms:modified>
</cp:coreProperties>
</file>