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K94" i="1"/>
  <c r="F134" i="1" l="1"/>
  <c r="A141" i="1"/>
  <c r="A137" i="1"/>
  <c r="A120" i="1"/>
  <c r="F118" i="1"/>
  <c r="A121" i="1"/>
  <c r="A122" i="1"/>
  <c r="D118" i="1"/>
  <c r="A124" i="1"/>
  <c r="A95" i="1"/>
  <c r="A94" i="1"/>
  <c r="A96" i="1"/>
  <c r="D94" i="1"/>
  <c r="A99" i="1"/>
  <c r="A102" i="1"/>
  <c r="A103" i="1"/>
  <c r="A107" i="1"/>
  <c r="A134" i="1"/>
  <c r="A135" i="1"/>
  <c r="A139" i="1"/>
  <c r="A106" i="1"/>
  <c r="A138" i="1"/>
  <c r="F94" i="1"/>
  <c r="A97" i="1"/>
  <c r="A101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86" i="1"/>
  <c r="A186" i="1" s="1"/>
  <c r="I186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H173" i="1"/>
  <c r="H166" i="1"/>
  <c r="F180" i="1"/>
  <c r="F173" i="1"/>
  <c r="F164" i="1"/>
  <c r="F171" i="1"/>
  <c r="H164" i="1"/>
  <c r="F167" i="1"/>
  <c r="H180" i="1"/>
  <c r="H169" i="1"/>
  <c r="F178" i="1"/>
  <c r="F177" i="1"/>
  <c r="H167" i="1"/>
  <c r="H177" i="1"/>
  <c r="A159" i="1"/>
  <c r="A158" i="1"/>
  <c r="E155" i="1"/>
  <c r="H171" i="1" l="1"/>
  <c r="F166" i="1"/>
  <c r="F165" i="1"/>
  <c r="H165" i="1"/>
  <c r="F182" i="1"/>
  <c r="H172" i="1"/>
  <c r="H179" i="1"/>
  <c r="H186" i="1"/>
  <c r="H176" i="1"/>
  <c r="F187" i="1"/>
  <c r="H182" i="1"/>
  <c r="H178" i="1"/>
  <c r="H184" i="1"/>
  <c r="H168" i="1"/>
  <c r="H187" i="1"/>
  <c r="F181" i="1"/>
  <c r="F184" i="1"/>
  <c r="F179" i="1"/>
  <c r="F172" i="1"/>
  <c r="F169" i="1"/>
  <c r="H181" i="1"/>
  <c r="H174" i="1"/>
  <c r="F168" i="1"/>
  <c r="F185" i="1"/>
  <c r="F170" i="1"/>
  <c r="H170" i="1"/>
  <c r="F176" i="1"/>
  <c r="F186" i="1"/>
  <c r="F175" i="1"/>
  <c r="H185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<sst xmlns="http://schemas.openxmlformats.org/spreadsheetml/2006/main" count="555" uniqueCount="203">
  <si>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</si>
  <si>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</si>
  <si>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</si>
  <si>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</si>
  <si>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</si>
  <si>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</si>
  <si>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</si>
  <si>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</si>
  <si>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</si>
  <si>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</si>
  <si>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</si>
  <si>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</si>
  <si>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</si>
  <si>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</si>
  <si>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</si>
  <si>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</si>
  <si>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</si>
  <si>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</si>
  <si>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</si>
  <si>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</si>
  <si>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</si>
  <si>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</si>
  <si>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</si>
  <si>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</si>
  <si>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</si>
  <si>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</si>
  <si>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</si>
  <si>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</si>
  <si>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</si>
  <si>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</si>
  <si>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</si>
  <si>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</si>
  <si>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</si>
  <si>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</si>
  <si>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</si>
  <si>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</si>
  <si>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</si>
  <si>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</si>
  <si>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</si>
  <si>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</si>
  <si>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</si>
  <si>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</si>
  <si>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</si>
  <si>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</si>
  <si>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</si>
  <si>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</si>
  <si>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</si>
  <si>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</si>
  <si>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</si>
  <si>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</si>
  <si>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</si>
  <si>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</si>
  <si>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</si>
  <si>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</si>
  <si>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</si>
  <si>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</si>
  <si>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</si>
  <si>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</si>
  <si>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</si>
  <si>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</si>
  <si>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</si>
  <si>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</si>
  <si>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</si>
  <si>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</si>
  <si>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</si>
  <si>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</si>
  <si>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</si>
  <si>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</si>
  <si>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</si>
  <si>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</si>
  <si>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</si>
  <si>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</si>
  <si>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</si>
  <si>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</si>
  <si>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</si>
  <si>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</si>
  <si>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</si>
  <si>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</si>
  <si>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</si>
  <si>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</si>
  <si>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</si>
  <si>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</si>
  <si>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</si>
  <si>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</si>
  <si>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</si>
  <si>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</si>
  <si>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</si>
  <si>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</si>
  <si>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</si>
  <si>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</si>
  <si>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</si>
  <si>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</si>
  <si>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</si>
  <si>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</si>
  <si>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</si>
  <si>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</si>
  <si>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</si>
  <si>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</si>
  <si>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</si>
  <si>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</si>
  <si>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</si>
  <si>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</si>
  <si>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</si>
  <si>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</si>
  <si>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</si>
  <si>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</si>
  <si>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</si>
  <si>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</si>
  <si>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</si>
  <si>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</si>
  <si>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</si>
  <si>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</si>
  <si>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</si>
  <si>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</si>
  <si>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</si>
  <si>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</si>
  <si>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</si>
  <si>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</si>
  <si>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</si>
  <si>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</si>
  <si>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</si>
  <si>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</si>
  <si>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</si>
  <si>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</si>
  <si>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</si>
  <si>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</si>
  <si>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</si>
  <si>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</si>
  <si>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</si>
  <si>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</si>
  <si>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</si>
  <si>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</si>
  <si>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</si>
  <si>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</si>
  <si>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</si>
  <si>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</si>
  <si>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</si>
  <si>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</si>
  <si>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</si>
  <si>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</si>
  <si>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</si>
  <si>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</si>
  <si>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</si>
  <si>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</si>
  <si>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</si>
  <si>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</si>
  <si>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</si>
  <si>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</si>
  <si>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</si>
  <si>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</si>
  <si>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</si>
  <si>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</si>
  <si>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</si>
  <si>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</si>
  <si>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</si>
  <si>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</si>
  <si>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</si>
  <si>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</si>
  <si>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</si>
  <si>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</si>
  <si>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</si>
  <si>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</si>
  <si>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</si>
  <si>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</si>
  <si>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</si>
  <si>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</si>
  <si>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</si>
  <si>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</si>
  <si>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</si>
  <si>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</si>
  <si>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</si>
  <si>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</si>
  <si>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</si>
  <si>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</si>
  <si>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</si>
  <si>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</si>
  <si>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</si>
  <si>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8</t>
  </si>
  <si>
    <t>Работы по содержанию лифта (лифтов)</t>
  </si>
  <si>
    <t>ежегодно</t>
  </si>
  <si>
    <t>площадь дома</t>
  </si>
  <si>
    <t>Отчет об исполнении договора управления многоквартирного дома 
Мамина-Сибиряка, 8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</si>
  <si>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</si>
  <si>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</si>
  <si>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</si>
  <si>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</si>
  <si>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</si>
  <si>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Ремонт прибора учета тепловой энергии.</t>
  </si>
  <si>
    <t>разово</t>
  </si>
  <si>
    <t>Приобретение и установка таблички по пожарной безопасности.</t>
  </si>
  <si>
    <t>Приобретение новогодней елки и гирлянды.</t>
  </si>
  <si>
    <t>АВР 1/20 от 10.04.2020, чек Рич Фемили</t>
  </si>
  <si>
    <t>АВР 2/20 от 07.04.2020, счет №18 от 13.02.2020</t>
  </si>
  <si>
    <t>АВР 3/20 от 07.04.2020, счет от 12.03.2020</t>
  </si>
  <si>
    <t>Частичный ремонт отмостки.</t>
  </si>
  <si>
    <t>АВР 4/20 от 04.09.2020, Решение, счет от 29.07.2020</t>
  </si>
  <si>
    <t>Ремонт тротуара перед подъездом литым асфальтом.</t>
  </si>
  <si>
    <t>АВР 5/20 от 20.10.2020, Решение, счет №7 от 31.07.2020</t>
  </si>
  <si>
    <t>Замена общедомовых приборов учета электрической энергии и трансформаторов тока.</t>
  </si>
  <si>
    <t>АВР 6/20 от 05.11.2020</t>
  </si>
  <si>
    <t>Приобретение и укладка грязезащитного коврика в тамбур подъезда.</t>
  </si>
  <si>
    <t>АВР 7/20 от 03.12.20, Решение, счет №96 от 10.11.2020</t>
  </si>
  <si>
    <t xml:space="preserve">  -  монтаж греющего кабеля на кровле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</si>
</sst>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1" fillId="0" borderId="0"/>
  </cellStyleXfs>
  <cellXfs count="180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24" fillId="0" borderId="0" xfId="5" applyNumberFormat="1" applyFont="1" applyFill="1" applyBorder="1" applyAlignment="1"/>
    <xf numFmtId="0" fontId="9" fillId="0" borderId="0" xfId="5" applyFill="1" applyBorder="1"/>
    <xf numFmtId="0" fontId="9" fillId="0" borderId="0" xfId="5" applyFill="1" applyBorder="1" applyAlignment="1">
      <alignment horizontal="center"/>
    </xf>
    <xf numFmtId="0" fontId="9" fillId="0" borderId="0" xfId="5" applyFill="1" applyBorder="1" applyAlignment="1"/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1" fontId="9" fillId="0" borderId="0" xfId="5" applyNumberFormat="1" applyFill="1" applyBorder="1" applyAlignment="1">
      <alignment horizontal="center"/>
    </xf>
    <xf numFmtId="0" fontId="6" fillId="0" borderId="0" xfId="5" applyFont="1" applyFill="1" applyBorder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9" fillId="0" borderId="0" xfId="5" applyNumberFormat="1" applyFill="1" applyBorder="1" applyAlignment="1">
      <alignment horizontal="center"/>
    </xf>
    <xf numFmtId="4" fontId="9" fillId="0" borderId="0" xfId="5" applyNumberForma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6" applyFont="1" applyFill="1" applyBorder="1" applyAlignment="1"/>
    <xf numFmtId="0" fontId="1" fillId="0" borderId="0" xfId="6" applyFont="1" applyFill="1" applyBorder="1" applyAlignment="1">
      <alignment horizontal="center"/>
    </xf>
    <xf numFmtId="1" fontId="1" fillId="0" borderId="0" xfId="6" applyNumberFormat="1" applyFill="1" applyBorder="1" applyAlignment="1">
      <alignment horizontal="center"/>
    </xf>
    <xf numFmtId="4" fontId="1" fillId="0" borderId="0" xfId="6" applyNumberFormat="1" applyFill="1" applyBorder="1" applyAlignment="1"/>
    <xf numFmtId="49" fontId="17" fillId="0" borderId="0" xfId="0" applyNumberFormat="1" applyFont="1" applyFill="1" applyBorder="1" applyAlignment="1">
      <alignment wrapText="1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6" sqref="K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70" t="s">
        <v>177</v>
      </c>
      <c r="B2" s="170"/>
      <c r="C2" s="170"/>
      <c r="D2" s="170"/>
      <c r="E2" s="170"/>
      <c r="F2" s="170"/>
      <c r="G2" s="170"/>
      <c r="H2" s="170"/>
      <c r="I2" s="170"/>
      <c r="J2" s="170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7" t="s">
        <v>2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11"/>
      <c r="L8" s="171"/>
      <c r="M8" s="111"/>
      <c r="N8" s="111"/>
      <c r="O8" s="71" t="s">
        <v>83</v>
      </c>
      <c r="R8" s="16"/>
    </row>
    <row r="9" spans="1:18" ht="18.75" customHeight="1" outlineLevel="1">
      <c r="A9" s="167" t="s">
        <v>3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11"/>
      <c r="L9" s="171"/>
      <c r="M9" s="111"/>
      <c r="N9" s="111"/>
      <c r="O9" s="71" t="s">
        <v>84</v>
      </c>
    </row>
    <row r="10" spans="1:18" ht="18.75" customHeight="1" outlineLevel="1">
      <c r="A10" s="167" t="s">
        <v>4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247940.33</v>
      </c>
      <c r="K10" s="111"/>
      <c r="L10" s="171"/>
      <c r="M10" s="111"/>
      <c r="N10" s="111"/>
      <c r="O10" s="71" t="s">
        <v>85</v>
      </c>
    </row>
    <row r="11" spans="1:18" outlineLevel="1">
      <c r="A11" s="167" t="s">
        <v>5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633421.71600000001</v>
      </c>
      <c r="K11" s="111"/>
      <c r="L11" s="171"/>
      <c r="M11" s="111"/>
      <c r="N11" s="111"/>
      <c r="O11" s="71" t="s">
        <v>86</v>
      </c>
    </row>
    <row r="12" spans="1:18" ht="18.75" customHeight="1" outlineLevel="1">
      <c r="A12" s="167" t="s">
        <v>6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483247.14000000007</v>
      </c>
      <c r="K12" s="111"/>
      <c r="L12" s="171"/>
      <c r="M12" s="111"/>
      <c r="N12" s="111"/>
      <c r="O12" s="71" t="s">
        <v>87</v>
      </c>
    </row>
    <row r="13" spans="1:18" ht="18.75" customHeight="1" outlineLevel="1">
      <c r="A13" s="167" t="s">
        <v>7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150174.576</v>
      </c>
      <c r="K13" s="111"/>
      <c r="L13" s="171"/>
      <c r="M13" s="111"/>
      <c r="N13" s="111"/>
      <c r="O13" s="71" t="s">
        <v>88</v>
      </c>
    </row>
    <row r="14" spans="1:18" ht="18.75" customHeight="1" outlineLevel="1">
      <c r="A14" s="167" t="s">
        <v>8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11"/>
      <c r="L14" s="171"/>
      <c r="M14" s="111"/>
      <c r="N14" s="111"/>
      <c r="O14" s="71" t="s">
        <v>89</v>
      </c>
    </row>
    <row r="15" spans="1:18" ht="18.75" customHeight="1" outlineLevel="1">
      <c r="A15" s="167" t="s">
        <v>9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687879.61</v>
      </c>
      <c r="K15" s="111"/>
      <c r="L15" s="171"/>
      <c r="M15" s="111"/>
      <c r="N15" s="111"/>
      <c r="O15" s="71" t="s">
        <v>90</v>
      </c>
    </row>
    <row r="16" spans="1:18" ht="18.75" customHeight="1" outlineLevel="1">
      <c r="A16" s="167" t="s">
        <v>10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687879.61</v>
      </c>
      <c r="K16" s="111"/>
      <c r="L16" s="171"/>
      <c r="M16" s="111"/>
      <c r="N16" s="111"/>
      <c r="O16" s="71" t="s">
        <v>91</v>
      </c>
    </row>
    <row r="17" spans="1:23" ht="18.75" customHeight="1" outlineLevel="1">
      <c r="A17" s="167" t="s">
        <v>11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11"/>
      <c r="L17" s="171"/>
      <c r="M17" s="111"/>
      <c r="N17" s="111"/>
      <c r="O17" s="71" t="s">
        <v>92</v>
      </c>
    </row>
    <row r="18" spans="1:23" ht="18.75" customHeight="1" outlineLevel="1">
      <c r="A18" s="167" t="s">
        <v>12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11"/>
      <c r="L18" s="171"/>
      <c r="M18" s="111"/>
      <c r="N18" s="111"/>
      <c r="O18" s="71" t="s">
        <v>93</v>
      </c>
    </row>
    <row r="19" spans="1:23" ht="18.75" customHeight="1" outlineLevel="1">
      <c r="A19" s="167" t="s">
        <v>13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11"/>
      <c r="L19" s="171"/>
      <c r="M19" s="111"/>
      <c r="N19" s="111"/>
      <c r="O19" s="71" t="s">
        <v>94</v>
      </c>
    </row>
    <row r="20" spans="1:23" ht="18.75" customHeight="1" outlineLevel="1">
      <c r="A20" s="167" t="s">
        <v>14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11"/>
      <c r="L20" s="171"/>
      <c r="M20" s="111"/>
      <c r="N20" s="111"/>
      <c r="O20" s="71" t="s">
        <v>95</v>
      </c>
    </row>
    <row r="21" spans="1:23" ht="18.75" customHeight="1" outlineLevel="1">
      <c r="A21" s="167" t="s">
        <v>15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687879.61</v>
      </c>
      <c r="K21" s="111"/>
      <c r="L21" s="171"/>
      <c r="M21" s="111"/>
      <c r="N21" s="111"/>
      <c r="O21" s="71" t="s">
        <v>96</v>
      </c>
    </row>
    <row r="22" spans="1:23" ht="18.75" customHeight="1" outlineLevel="1">
      <c r="A22" s="167" t="s">
        <v>16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11"/>
      <c r="L22" s="171"/>
      <c r="M22" s="111"/>
      <c r="N22" s="111"/>
      <c r="O22" s="71" t="s">
        <v>97</v>
      </c>
    </row>
    <row r="23" spans="1:23" ht="18.75" customHeight="1" outlineLevel="1">
      <c r="A23" s="167" t="s">
        <v>17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11"/>
      <c r="L23" s="171"/>
      <c r="M23" s="111"/>
      <c r="N23" s="111"/>
      <c r="O23" s="71" t="s">
        <v>98</v>
      </c>
    </row>
    <row r="24" spans="1:23" ht="18.75" customHeight="1" outlineLevel="1">
      <c r="A24" s="167" t="s">
        <v>18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193482.43599999999</v>
      </c>
      <c r="K24" s="111"/>
      <c r="L24" s="171"/>
      <c r="M24" s="111"/>
      <c r="N24" s="111"/>
      <c r="O24" s="71" t="s">
        <v>99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4" t="s">
        <v>19</v>
      </c>
      <c r="B27" s="154"/>
      <c r="C27" s="154"/>
      <c r="D27" s="154"/>
      <c r="E27" s="154"/>
      <c r="F27" s="154" t="s">
        <v>20</v>
      </c>
      <c r="G27" s="154"/>
      <c r="H27" s="5" t="s">
        <v>57</v>
      </c>
      <c r="I27" s="154" t="s">
        <v>21</v>
      </c>
      <c r="J27" s="154"/>
      <c r="K27" s="111"/>
      <c r="L27" s="172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49">
        <f>VLOOKUP(A28,ПТО!$A$39:$D$53,2,FALSE)</f>
        <v>158095.20000000001</v>
      </c>
      <c r="G28" s="149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1"/>
      <c r="L28" s="172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8"/>
      <c r="C29" s="148"/>
      <c r="D29" s="148"/>
      <c r="E29" s="148"/>
      <c r="F29" s="149">
        <f>VLOOKUP(A29,ПТО!$A$39:$D$53,2,FALSE)</f>
        <v>126412.8</v>
      </c>
      <c r="G29" s="149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1"/>
      <c r="L29" s="172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49">
        <f>VLOOKUP(A30,ПТО!$A$39:$D$53,2,FALSE)</f>
        <v>46573.08</v>
      </c>
      <c r="G30" s="149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1"/>
      <c r="L30" s="172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49">
        <f>VLOOKUP(A31,ПТО!$A$39:$D$53,2,FALSE)</f>
        <v>38018.879999999997</v>
      </c>
      <c r="G31" s="149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1"/>
      <c r="L31" s="172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1"/>
      <c r="L32" s="172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49">
        <f>VLOOKUP(A33,ПТО!$A$39:$D$53,2,FALSE)</f>
        <v>12672.96</v>
      </c>
      <c r="G33" s="149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1"/>
      <c r="L33" s="172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49">
        <f>VLOOKUP(A34,ПТО!$A$39:$D$53,2,FALSE)</f>
        <v>50375.040000000001</v>
      </c>
      <c r="G34" s="149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1"/>
      <c r="L34" s="172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8" t="str">
        <f>ПТО!A46</f>
        <v>Работы по содержанию лифта (лифтов)</v>
      </c>
      <c r="B35" s="148"/>
      <c r="C35" s="148"/>
      <c r="D35" s="148"/>
      <c r="E35" s="148"/>
      <c r="F35" s="149">
        <f>VLOOKUP(A35,ПТО!$A$39:$D$53,2,FALSE)</f>
        <v>53860.08</v>
      </c>
      <c r="G35" s="149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1"/>
      <c r="L35" s="172"/>
      <c r="M35" s="118"/>
      <c r="N35" s="111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1"/>
      <c r="L36" s="172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1"/>
      <c r="L37" s="172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1"/>
      <c r="L38" s="172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1"/>
      <c r="L39" s="172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1"/>
      <c r="L40" s="172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1"/>
      <c r="L41" s="172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1"/>
      <c r="L42" s="172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Техническое освидетельствование лифта.</v>
      </c>
      <c r="B43" s="148"/>
      <c r="C43" s="148"/>
      <c r="D43" s="148"/>
      <c r="E43" s="148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50">
        <f>VLOOKUP(A43,ПТО!$A$2:$D$31,3,FALSE)</f>
        <v>1</v>
      </c>
      <c r="J43" s="150"/>
      <c r="K43" s="111"/>
      <c r="L43" s="172"/>
      <c r="M43" s="118"/>
      <c r="N43" s="111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8" t="str">
        <f>ПТО!A3</f>
        <v>Приобретение новогодней елки и гирлянды.</v>
      </c>
      <c r="B44" s="148"/>
      <c r="C44" s="148"/>
      <c r="D44" s="148"/>
      <c r="E44" s="148"/>
      <c r="F44" s="149">
        <f>VLOOKUP(A44,ПТО!$A$2:$D$31,4,FALSE)</f>
        <v>1700</v>
      </c>
      <c r="G44" s="149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1"/>
      <c r="L44" s="172"/>
      <c r="M44" s="118"/>
      <c r="N44" s="111"/>
      <c r="O44" s="23" t="str">
        <f t="shared" si="1"/>
        <v>Приобретение новогодней елки и гирлянды.</v>
      </c>
      <c r="R44" s="22" t="s">
        <v>72</v>
      </c>
    </row>
    <row r="45" spans="1:18" ht="51" customHeight="1" outlineLevel="1">
      <c r="A45" s="148" t="str">
        <f>ПТО!A4</f>
        <v>Ремонт прибора учета тепловой энергии.</v>
      </c>
      <c r="B45" s="148"/>
      <c r="C45" s="148"/>
      <c r="D45" s="148"/>
      <c r="E45" s="148"/>
      <c r="F45" s="149">
        <f>VLOOKUP(A45,ПТО!$A$2:$D$31,4,FALSE)</f>
        <v>2242</v>
      </c>
      <c r="G45" s="149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1"/>
      <c r="L45" s="172"/>
      <c r="M45" s="118"/>
      <c r="N45" s="111"/>
      <c r="O45" s="23" t="str">
        <f t="shared" si="1"/>
        <v>Ремонт прибора учета тепловой энергии.</v>
      </c>
      <c r="R45" s="22" t="s">
        <v>72</v>
      </c>
    </row>
    <row r="46" spans="1:18" ht="51" customHeight="1" outlineLevel="1">
      <c r="A46" s="148" t="str">
        <f>ПТО!A5</f>
        <v>Приобретение и установка таблички по пожарной безопасности.</v>
      </c>
      <c r="B46" s="148"/>
      <c r="C46" s="148"/>
      <c r="D46" s="148"/>
      <c r="E46" s="148"/>
      <c r="F46" s="149">
        <f>VLOOKUP(A46,ПТО!$A$2:$D$31,4,FALSE)</f>
        <v>250</v>
      </c>
      <c r="G46" s="149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1"/>
      <c r="L46" s="172"/>
      <c r="M46" s="118"/>
      <c r="N46" s="111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48" t="str">
        <f>ПТО!A6</f>
        <v>Частичный ремонт отмостки.</v>
      </c>
      <c r="B47" s="148"/>
      <c r="C47" s="148"/>
      <c r="D47" s="148"/>
      <c r="E47" s="148"/>
      <c r="F47" s="149">
        <f>VLOOKUP(A47,ПТО!$A$2:$D$31,4,FALSE)</f>
        <v>143789</v>
      </c>
      <c r="G47" s="149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1"/>
      <c r="L47" s="172"/>
      <c r="M47" s="118"/>
      <c r="N47" s="111"/>
      <c r="O47" s="23" t="str">
        <f t="shared" si="1"/>
        <v>Частичный ремонт отмостки.</v>
      </c>
      <c r="R47" s="22" t="s">
        <v>72</v>
      </c>
    </row>
    <row r="48" spans="1:18" ht="51" customHeight="1" outlineLevel="1">
      <c r="A48" s="148" t="str">
        <f>ПТО!A7</f>
        <v>Ремонт тротуара перед подъездом литым асфальтом.</v>
      </c>
      <c r="B48" s="148"/>
      <c r="C48" s="148"/>
      <c r="D48" s="148"/>
      <c r="E48" s="148"/>
      <c r="F48" s="149">
        <f>VLOOKUP(A48,ПТО!$A$2:$D$31,4,FALSE)</f>
        <v>31178</v>
      </c>
      <c r="G48" s="149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11"/>
      <c r="L48" s="172"/>
      <c r="M48" s="118"/>
      <c r="N48" s="111"/>
      <c r="O48" s="23" t="str">
        <f t="shared" si="1"/>
        <v>Ремонт тротуара перед подъездом литым асфальтом.</v>
      </c>
      <c r="R48" s="22" t="s">
        <v>72</v>
      </c>
    </row>
    <row r="49" spans="1:18" ht="51" customHeight="1" outlineLevel="1">
      <c r="A49" s="148" t="str">
        <f>ПТО!A8</f>
        <v>Замена общедомовых приборов учета электрической энергии и трансформаторов тока.</v>
      </c>
      <c r="B49" s="148"/>
      <c r="C49" s="148"/>
      <c r="D49" s="148"/>
      <c r="E49" s="148"/>
      <c r="F49" s="149">
        <f>VLOOKUP(A49,ПТО!$A$2:$D$31,4,FALSE)</f>
        <v>7178.8</v>
      </c>
      <c r="G49" s="149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11"/>
      <c r="L49" s="172"/>
      <c r="M49" s="118"/>
      <c r="N49" s="111"/>
      <c r="O49" s="23" t="str">
        <f t="shared" si="1"/>
        <v>Замена общедомовых приборов учета электрической энергии и трансформаторов тока.</v>
      </c>
      <c r="R49" s="22" t="s">
        <v>72</v>
      </c>
    </row>
    <row r="50" spans="1:18" ht="51" customHeight="1" outlineLevel="1">
      <c r="A50" s="148" t="str">
        <f>ПТО!A9</f>
        <v>Приобретение и укладка грязезащитного коврика в тамбур подъезда.</v>
      </c>
      <c r="B50" s="148"/>
      <c r="C50" s="148"/>
      <c r="D50" s="148"/>
      <c r="E50" s="148"/>
      <c r="F50" s="149">
        <f>VLOOKUP(A50,ПТО!$A$2:$D$31,4,FALSE)</f>
        <v>1680</v>
      </c>
      <c r="G50" s="149"/>
      <c r="H50" s="25" t="str">
        <f>VLOOKUP(A50,ПТО!$A$2:$D$31,2,FALSE)</f>
        <v>разово</v>
      </c>
      <c r="I50" s="150">
        <f>VLOOKUP(A50,ПТО!$A$2:$D$31,3,FALSE)</f>
        <v>1</v>
      </c>
      <c r="J50" s="150"/>
      <c r="K50" s="111"/>
      <c r="L50" s="172"/>
      <c r="M50" s="118"/>
      <c r="N50" s="111"/>
      <c r="O50" s="23" t="str">
        <f t="shared" si="1"/>
        <v>Приобретение и укладка грязезащитного коврика в тамбур подъезда.</v>
      </c>
      <c r="R50" s="22" t="s">
        <v>72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1"/>
      <c r="L51" s="172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1"/>
      <c r="L52" s="172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1"/>
      <c r="L53" s="172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1"/>
      <c r="L54" s="172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1"/>
      <c r="L55" s="172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1"/>
      <c r="L56" s="172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1"/>
      <c r="L57" s="172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1"/>
      <c r="L58" s="172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1"/>
      <c r="L59" s="172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1"/>
      <c r="L60" s="172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1"/>
      <c r="L61" s="172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1"/>
      <c r="L62" s="172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1"/>
      <c r="L63" s="172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1"/>
      <c r="L64" s="172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1"/>
      <c r="L65" s="172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1"/>
      <c r="L66" s="172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1"/>
      <c r="L67" s="172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1"/>
      <c r="L68" s="172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1"/>
      <c r="L69" s="172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1"/>
      <c r="L70" s="172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8"/>
      <c r="L71" s="172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1"/>
      <c r="L72" s="172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175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1"/>
      <c r="L75" s="155"/>
      <c r="M75" s="111"/>
      <c r="N75" s="111"/>
      <c r="O75" s="71" t="s">
        <v>100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1"/>
      <c r="L76" s="155"/>
      <c r="M76" s="111"/>
      <c r="N76" s="111"/>
      <c r="O76" s="71" t="s">
        <v>101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1"/>
      <c r="L77" s="155"/>
      <c r="M77" s="111"/>
      <c r="N77" s="111"/>
      <c r="O77" s="71" t="s">
        <v>102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8">
        <f>VLOOKUP(O78,АО,3,FALSE)</f>
        <v>0</v>
      </c>
      <c r="K78" s="111"/>
      <c r="L78" s="155"/>
      <c r="M78" s="111"/>
      <c r="N78" s="111"/>
      <c r="O78" s="71" t="s">
        <v>103</v>
      </c>
    </row>
    <row r="79" spans="1:16384">
      <c r="A79" s="117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6" t="s">
        <v>2</v>
      </c>
      <c r="B81" s="156"/>
      <c r="C81" s="156"/>
      <c r="D81" s="156"/>
      <c r="E81" s="156"/>
      <c r="F81" s="156"/>
      <c r="G81" s="156"/>
      <c r="H81" s="156"/>
      <c r="I81" s="156"/>
      <c r="J81" s="98">
        <f t="shared" ref="J81:J90" si="2">VLOOKUP(O81,АО,3,FALSE)</f>
        <v>0</v>
      </c>
      <c r="K81" s="111"/>
      <c r="L81" s="173"/>
      <c r="M81" s="111"/>
      <c r="N81" s="111"/>
      <c r="O81" s="71" t="s">
        <v>104</v>
      </c>
    </row>
    <row r="82" spans="1:15" outlineLevel="1">
      <c r="A82" s="156" t="s">
        <v>3</v>
      </c>
      <c r="B82" s="156"/>
      <c r="C82" s="156"/>
      <c r="D82" s="156"/>
      <c r="E82" s="156"/>
      <c r="F82" s="156"/>
      <c r="G82" s="156"/>
      <c r="H82" s="156"/>
      <c r="I82" s="156"/>
      <c r="J82" s="98">
        <f t="shared" si="2"/>
        <v>0</v>
      </c>
      <c r="K82" s="111"/>
      <c r="L82" s="173"/>
      <c r="M82" s="111"/>
      <c r="N82" s="111"/>
      <c r="O82" s="71" t="s">
        <v>105</v>
      </c>
    </row>
    <row r="83" spans="1:15" outlineLevel="1">
      <c r="A83" s="163" t="s">
        <v>4</v>
      </c>
      <c r="B83" s="164"/>
      <c r="C83" s="164"/>
      <c r="D83" s="164"/>
      <c r="E83" s="164"/>
      <c r="F83" s="164"/>
      <c r="G83" s="164"/>
      <c r="H83" s="164"/>
      <c r="I83" s="165"/>
      <c r="J83" s="98">
        <f t="shared" si="2"/>
        <v>70664.28</v>
      </c>
      <c r="K83" s="111"/>
      <c r="L83" s="173"/>
      <c r="M83" s="111"/>
      <c r="N83" s="111"/>
      <c r="O83" s="71" t="s">
        <v>106</v>
      </c>
    </row>
    <row r="84" spans="1:15" outlineLevel="1">
      <c r="A84" s="163" t="s">
        <v>16</v>
      </c>
      <c r="B84" s="164"/>
      <c r="C84" s="164"/>
      <c r="D84" s="164"/>
      <c r="E84" s="164"/>
      <c r="F84" s="164"/>
      <c r="G84" s="164"/>
      <c r="H84" s="164"/>
      <c r="I84" s="165"/>
      <c r="J84" s="98">
        <f t="shared" si="2"/>
        <v>0</v>
      </c>
      <c r="K84" s="111"/>
      <c r="L84" s="173"/>
      <c r="M84" s="111"/>
      <c r="N84" s="111"/>
      <c r="O84" s="71" t="s">
        <v>107</v>
      </c>
    </row>
    <row r="85" spans="1:15" outlineLevel="1">
      <c r="A85" s="163" t="s">
        <v>17</v>
      </c>
      <c r="B85" s="164"/>
      <c r="C85" s="164"/>
      <c r="D85" s="164"/>
      <c r="E85" s="164"/>
      <c r="F85" s="164"/>
      <c r="G85" s="164"/>
      <c r="H85" s="164"/>
      <c r="I85" s="165"/>
      <c r="J85" s="98">
        <f t="shared" si="2"/>
        <v>0</v>
      </c>
      <c r="K85" s="111"/>
      <c r="L85" s="173"/>
      <c r="M85" s="111"/>
      <c r="N85" s="111"/>
      <c r="O85" s="71" t="s">
        <v>108</v>
      </c>
    </row>
    <row r="86" spans="1:15" outlineLevel="1">
      <c r="A86" s="163" t="s">
        <v>18</v>
      </c>
      <c r="B86" s="164"/>
      <c r="C86" s="164"/>
      <c r="D86" s="164"/>
      <c r="E86" s="164"/>
      <c r="F86" s="164"/>
      <c r="G86" s="164"/>
      <c r="H86" s="164"/>
      <c r="I86" s="165"/>
      <c r="J86" s="98">
        <f t="shared" si="2"/>
        <v>57349.809999999903</v>
      </c>
      <c r="K86" s="111"/>
      <c r="L86" s="173"/>
      <c r="M86" s="111"/>
      <c r="N86" s="111"/>
      <c r="O86" s="71" t="s">
        <v>109</v>
      </c>
    </row>
    <row r="87" spans="1:15" ht="18.75" customHeight="1" outlineLevel="1">
      <c r="A87" s="163" t="s">
        <v>27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11"/>
      <c r="L87" s="173"/>
      <c r="M87" s="111"/>
      <c r="N87" s="111"/>
      <c r="O87" s="71" t="s">
        <v>110</v>
      </c>
    </row>
    <row r="88" spans="1:15" ht="18.75" customHeight="1" outlineLevel="1">
      <c r="A88" s="163" t="s">
        <v>28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11"/>
      <c r="L88" s="173"/>
      <c r="M88" s="111"/>
      <c r="N88" s="111"/>
      <c r="O88" s="71" t="s">
        <v>111</v>
      </c>
    </row>
    <row r="89" spans="1:15" ht="18.75" customHeight="1" outlineLevel="1">
      <c r="A89" s="163" t="s">
        <v>29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11"/>
      <c r="L89" s="173"/>
      <c r="M89" s="111"/>
      <c r="N89" s="111"/>
      <c r="O89" s="71" t="s">
        <v>112</v>
      </c>
    </row>
    <row r="90" spans="1:15" ht="18.75" customHeight="1" outlineLevel="1">
      <c r="A90" s="163" t="s">
        <v>30</v>
      </c>
      <c r="B90" s="164"/>
      <c r="C90" s="164"/>
      <c r="D90" s="164"/>
      <c r="E90" s="164"/>
      <c r="F90" s="164"/>
      <c r="G90" s="164"/>
      <c r="H90" s="164"/>
      <c r="I90" s="165"/>
      <c r="J90" s="98">
        <f t="shared" si="2"/>
        <v>0</v>
      </c>
      <c r="K90" s="111"/>
      <c r="L90" s="173"/>
      <c r="M90" s="111"/>
      <c r="N90" s="111"/>
      <c r="O90" s="71" t="s">
        <v>113</v>
      </c>
    </row>
    <row r="91" spans="1:15">
      <c r="A91" s="106" t="s">
        <v>175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57" t="s">
        <v>48</v>
      </c>
      <c r="B93" s="157"/>
      <c r="C93" s="157"/>
      <c r="D93" s="160" t="s">
        <v>49</v>
      </c>
      <c r="E93" s="160"/>
      <c r="F93" s="10" t="s">
        <v>50</v>
      </c>
      <c r="G93" s="157" t="s">
        <v>51</v>
      </c>
      <c r="H93" s="157"/>
      <c r="I93" s="157"/>
      <c r="J93" s="157"/>
      <c r="K93" s="111"/>
      <c r="L93" s="111"/>
      <c r="M93" s="111"/>
      <c r="N93" s="111"/>
    </row>
    <row r="94" spans="1:15" outlineLevel="1">
      <c r="A94" s="161" t="str">
        <f>IF(VLOOKUP("эл",АО,3,FALSE)&gt;0,"Электроснабжение",0)</f>
        <v>Электроснабжение</v>
      </c>
      <c r="B94" s="161"/>
      <c r="C94" s="161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58">
        <f>VLOOKUP("эл",АО,5,FALSE)</f>
        <v>36706.519999999997</v>
      </c>
      <c r="H94" s="159"/>
      <c r="I94" s="159"/>
      <c r="J94" s="159"/>
      <c r="K94" s="1" t="str">
        <f>VLOOKUP("эл",АО,2,FALSE)</f>
        <v>Электроснабжение</v>
      </c>
      <c r="L94" s="174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32198.701754385966</v>
      </c>
      <c r="L95" s="174"/>
      <c r="O95" s="1" t="s">
        <v>114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43227.23000000001</v>
      </c>
      <c r="L96" s="174"/>
      <c r="O96" s="1" t="s">
        <v>115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74"/>
      <c r="O97" s="1" t="s">
        <v>116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36706.519999999997</v>
      </c>
      <c r="L98" s="174"/>
      <c r="O98" s="1" t="s">
        <v>117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36706.519999999997</v>
      </c>
      <c r="L99" s="174"/>
      <c r="O99" s="1" t="s">
        <v>118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74"/>
      <c r="O100" s="1" t="s">
        <v>119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74"/>
      <c r="O101" s="1" t="s">
        <v>120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58">
        <f>VLOOKUP("хвс",АО,5,FALSE)</f>
        <v>86761.59</v>
      </c>
      <c r="H102" s="159"/>
      <c r="I102" s="159"/>
      <c r="J102" s="159"/>
      <c r="L102" s="174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6412.5343680709539</v>
      </c>
      <c r="L103" s="174"/>
      <c r="O103" s="1" t="s">
        <v>123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90577.459999999992</v>
      </c>
      <c r="L104" s="174"/>
      <c r="O104" s="1" t="s">
        <v>124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74"/>
      <c r="O105" s="1" t="s">
        <v>125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86761.59</v>
      </c>
      <c r="L106" s="174"/>
      <c r="O106" s="1" t="s">
        <v>126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86761.59</v>
      </c>
      <c r="L107" s="174"/>
      <c r="O107" s="1" t="s">
        <v>127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74"/>
      <c r="O108" s="1" t="s">
        <v>128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74"/>
      <c r="O109" s="1" t="s">
        <v>129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58">
        <f>VLOOKUP("воо",АО,5,FALSE)</f>
        <v>99627.560000000012</v>
      </c>
      <c r="H110" s="159"/>
      <c r="I110" s="159"/>
      <c r="J110" s="159"/>
      <c r="L110" s="174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6456.7440051847061</v>
      </c>
      <c r="L111" s="174"/>
      <c r="O111" s="1" t="s">
        <v>131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102406.53999999998</v>
      </c>
      <c r="L112" s="174"/>
      <c r="O112" s="1" t="s">
        <v>132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0</v>
      </c>
      <c r="L113" s="174"/>
      <c r="O113" s="1" t="s">
        <v>133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99627.560000000012</v>
      </c>
      <c r="L114" s="174"/>
      <c r="O114" s="1" t="s">
        <v>134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99627.560000000012</v>
      </c>
      <c r="L115" s="174"/>
      <c r="O115" s="1" t="s">
        <v>135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74"/>
      <c r="O116" s="1" t="s">
        <v>136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74"/>
      <c r="O117" s="1" t="s">
        <v>137</v>
      </c>
    </row>
    <row r="118" spans="1:15" ht="32.25" customHeight="1" outlineLevel="1">
      <c r="A118" s="161" t="str">
        <f>IF(VLOOKUP("тко",АО,3,FALSE)&gt;0,"Обращение с ТКО",0)</f>
        <v>Обращение с ТКО</v>
      </c>
      <c r="B118" s="161"/>
      <c r="C118" s="161"/>
      <c r="D118" s="159" t="str">
        <f>IF(VLOOKUP("тко",АО,3,FALSE)&gt;0,VLOOKUP("тко",АО,3,FALSE),0)</f>
        <v>Предоставляется</v>
      </c>
      <c r="E118" s="159"/>
      <c r="F118" s="13" t="str">
        <f>IF(VLOOKUP("тко",АО,3,FALSE)&gt;0,VLOOKUP("тко",АО,4,FALSE),0)</f>
        <v>куб.м.</v>
      </c>
      <c r="G118" s="158">
        <f>VLOOKUP("тко",АО,5,FALSE)</f>
        <v>113519.31</v>
      </c>
      <c r="H118" s="159"/>
      <c r="I118" s="159"/>
      <c r="J118" s="159"/>
      <c r="L118" s="48"/>
    </row>
    <row r="119" spans="1:15" ht="32.25" customHeight="1" outlineLevel="2">
      <c r="A119" s="156" t="str">
        <f t="shared" ref="A119:A125" si="8">IF(VLOOKUP("тко",АО,3,FALSE)&gt;0,VLOOKUP(O119,АО,2,FALSE),0)</f>
        <v>Общий объем потребления, нат. показ.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200.24220775784516</v>
      </c>
      <c r="L119" s="48"/>
      <c r="O119" s="1" t="s">
        <v>139</v>
      </c>
    </row>
    <row r="120" spans="1:15" ht="32.25" customHeight="1" outlineLevel="2">
      <c r="A120" s="156" t="str">
        <f t="shared" si="8"/>
        <v>Оплачено потребителями, руб.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113718.22000000004</v>
      </c>
      <c r="L120" s="48"/>
      <c r="O120" s="1" t="s">
        <v>140</v>
      </c>
    </row>
    <row r="121" spans="1:15" ht="32.25" customHeight="1" outlineLevel="2">
      <c r="A121" s="156" t="str">
        <f t="shared" si="8"/>
        <v>Задолженность потребителей, руб.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8"/>
      <c r="O121" s="1" t="s">
        <v>141</v>
      </c>
    </row>
    <row r="122" spans="1:15" ht="32.25" customHeight="1" outlineLevel="2">
      <c r="A122" s="156" t="str">
        <f t="shared" si="8"/>
        <v>Начислено поставщиком (поставщиками) коммунального ресурса, руб.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113519.31</v>
      </c>
      <c r="L122" s="48"/>
      <c r="O122" s="1" t="s">
        <v>142</v>
      </c>
    </row>
    <row r="123" spans="1:15" ht="32.25" customHeight="1" outlineLevel="2">
      <c r="A123" s="156" t="str">
        <f t="shared" si="8"/>
        <v>Оплачено поставщику (поставщикам) коммунального ресурса, руб.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113519.31</v>
      </c>
      <c r="L123" s="48"/>
      <c r="O123" s="1" t="s">
        <v>143</v>
      </c>
    </row>
    <row r="124" spans="1:15" ht="32.25" customHeight="1" outlineLevel="2">
      <c r="A124" s="156" t="str">
        <f t="shared" si="8"/>
        <v>Задолженность перед поставщиком (поставщиками) коммунального ресурса, руб.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8"/>
      <c r="O124" s="1" t="s">
        <v>144</v>
      </c>
    </row>
    <row r="125" spans="1:15" ht="32.25" customHeight="1" outlineLevel="2">
      <c r="A125" s="156" t="str">
        <f t="shared" si="8"/>
        <v>Размер пени и штрафов, уплаченных поставщику (поставщикам) коммунального ресурса, руб.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8"/>
      <c r="O125" s="1" t="s">
        <v>145</v>
      </c>
    </row>
    <row r="126" spans="1:15" ht="32.25" hidden="1" customHeight="1" outlineLevel="1">
      <c r="A126" s="161">
        <f>IF(VLOOKUP("гвс",АО,3,FALSE)&gt;0,"Горячее водоснабжение",0)</f>
        <v>0</v>
      </c>
      <c r="B126" s="161"/>
      <c r="C126" s="161"/>
      <c r="D126" s="159">
        <f>IF(VLOOKUP("гвс",АО,3,FALSE)&gt;0,VLOOKUP("гвс",АО,3,FALSE),0)</f>
        <v>0</v>
      </c>
      <c r="E126" s="159"/>
      <c r="F126" s="13">
        <f>IF(VLOOKUP("гвс",АО,3,FALSE)&gt;0,VLOOKUP("гвс",АО,4,FALSE),0)</f>
        <v>0</v>
      </c>
      <c r="G126" s="158">
        <f>VLOOKUP("гвс",АО,5,FALSE)</f>
        <v>0</v>
      </c>
      <c r="H126" s="159"/>
      <c r="I126" s="159"/>
      <c r="J126" s="159"/>
      <c r="L126" s="48"/>
    </row>
    <row r="127" spans="1:15" ht="32.25" hidden="1" customHeight="1" outlineLevel="2">
      <c r="A127" s="156">
        <f t="shared" ref="A127:A133" si="10">IF(VLOOKUP("гвс",АО,3,FALSE)&gt;0,VLOOKUP(O127,АО,2,FALSE),0)</f>
        <v>0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0</v>
      </c>
      <c r="L127" s="48"/>
      <c r="O127" s="1" t="s">
        <v>147</v>
      </c>
    </row>
    <row r="128" spans="1:15" ht="32.25" hidden="1" customHeight="1" outlineLevel="2">
      <c r="A128" s="156">
        <f t="shared" si="10"/>
        <v>0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0</v>
      </c>
      <c r="L128" s="48"/>
      <c r="O128" s="1" t="s">
        <v>148</v>
      </c>
    </row>
    <row r="129" spans="1:15" ht="32.25" hidden="1" customHeight="1" outlineLevel="2">
      <c r="A129" s="156">
        <f t="shared" si="10"/>
        <v>0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0</v>
      </c>
      <c r="L129" s="48"/>
      <c r="O129" s="1" t="s">
        <v>149</v>
      </c>
    </row>
    <row r="130" spans="1:15" ht="32.25" hidden="1" customHeight="1" outlineLevel="2">
      <c r="A130" s="156">
        <f t="shared" si="10"/>
        <v>0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0</v>
      </c>
      <c r="L130" s="48"/>
      <c r="O130" s="1" t="s">
        <v>150</v>
      </c>
    </row>
    <row r="131" spans="1:15" ht="32.25" hidden="1" customHeight="1" outlineLevel="2">
      <c r="A131" s="156">
        <f t="shared" si="10"/>
        <v>0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0</v>
      </c>
      <c r="L131" s="48"/>
      <c r="O131" s="1" t="s">
        <v>151</v>
      </c>
    </row>
    <row r="132" spans="1:15" ht="32.25" hidden="1" customHeight="1" outlineLevel="2">
      <c r="A132" s="156">
        <f t="shared" si="10"/>
        <v>0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8"/>
      <c r="O132" s="1" t="s">
        <v>152</v>
      </c>
    </row>
    <row r="133" spans="1:15" ht="32.25" hidden="1" customHeight="1" outlineLevel="2">
      <c r="A133" s="156">
        <f t="shared" si="10"/>
        <v>0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8"/>
      <c r="O133" s="1" t="s">
        <v>153</v>
      </c>
    </row>
    <row r="134" spans="1:15" ht="32.25" hidden="1" customHeight="1" outlineLevel="1">
      <c r="A134" s="161">
        <f>IF(VLOOKUP("отопление",АО,3,FALSE)&gt;0,"Отопление",0)</f>
        <v>0</v>
      </c>
      <c r="B134" s="161"/>
      <c r="C134" s="161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9"/>
      <c r="I134" s="159"/>
      <c r="J134" s="159"/>
      <c r="L134" s="48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8"/>
      <c r="O135" s="1" t="s">
        <v>155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8"/>
      <c r="O136" s="1" t="s">
        <v>156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8"/>
      <c r="O137" s="1" t="s">
        <v>157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8"/>
      <c r="O138" s="1" t="s">
        <v>158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8"/>
      <c r="O139" s="1" t="s">
        <v>159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8"/>
      <c r="O140" s="1" t="s">
        <v>160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56" t="s">
        <v>45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171</v>
      </c>
    </row>
    <row r="145" spans="1:15" ht="18.75" customHeight="1" outlineLevel="1">
      <c r="A145" s="156" t="s">
        <v>46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56" t="s">
        <v>174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0</v>
      </c>
      <c r="O146" t="s">
        <v>173</v>
      </c>
    </row>
    <row r="149" spans="1:15" ht="52.5" customHeight="1">
      <c r="A149" s="152" t="s">
        <v>181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1" t="s">
        <v>186</v>
      </c>
      <c r="B154" s="151"/>
      <c r="C154" s="151"/>
      <c r="D154" s="151"/>
      <c r="E154" s="27">
        <f>ПТО!G1</f>
        <v>-98533.21</v>
      </c>
    </row>
    <row r="155" spans="1:15" ht="34.5" customHeight="1">
      <c r="A155" s="153" t="s">
        <v>185</v>
      </c>
      <c r="B155" s="153"/>
      <c r="C155" s="153"/>
      <c r="D155" s="153"/>
      <c r="E155" s="28">
        <f>J13</f>
        <v>150174.576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19</v>
      </c>
      <c r="B157" s="154"/>
      <c r="C157" s="154"/>
      <c r="D157" s="154"/>
      <c r="E157" s="154"/>
      <c r="F157" s="154" t="s">
        <v>20</v>
      </c>
      <c r="G157" s="154"/>
      <c r="H157" s="20" t="s">
        <v>57</v>
      </c>
      <c r="I157" s="154" t="s">
        <v>21</v>
      </c>
      <c r="J157" s="154"/>
    </row>
    <row r="158" spans="1:15" ht="29.25" customHeight="1">
      <c r="A158" s="148" t="str">
        <f t="shared" ref="A158:A163" si="14">IF(N158&gt;0,N158,0)</f>
        <v>Техническое освидетельствование лифта.</v>
      </c>
      <c r="B158" s="148"/>
      <c r="C158" s="148"/>
      <c r="D158" s="148"/>
      <c r="E158" s="148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50">
        <f t="shared" ref="I158:I161" si="17">VLOOKUP(A158,$A$28:$J$72,9,FALSE)</f>
        <v>1</v>
      </c>
      <c r="J158" s="15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8" t="str">
        <f t="shared" si="14"/>
        <v>Приобретение новогодней елки и гирлянды.</v>
      </c>
      <c r="B159" s="148"/>
      <c r="C159" s="148"/>
      <c r="D159" s="148"/>
      <c r="E159" s="148"/>
      <c r="F159" s="149">
        <f t="shared" si="15"/>
        <v>1700</v>
      </c>
      <c r="G159" s="149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Приобретение новогодней елки и гирлянды.</v>
      </c>
    </row>
    <row r="160" spans="1:15" ht="28.5" customHeight="1">
      <c r="A160" s="148" t="str">
        <f t="shared" si="14"/>
        <v>Ремонт прибора учета тепловой энергии.</v>
      </c>
      <c r="B160" s="148"/>
      <c r="C160" s="148"/>
      <c r="D160" s="148"/>
      <c r="E160" s="148"/>
      <c r="F160" s="149">
        <f t="shared" si="15"/>
        <v>2242</v>
      </c>
      <c r="G160" s="149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Ремонт прибора учета тепловой энергии.</v>
      </c>
    </row>
    <row r="161" spans="1:14" ht="28.5" customHeight="1">
      <c r="A161" s="148" t="str">
        <f>IF(N161&gt;0,N161,0)</f>
        <v>Приобретение и установка таблички по пожарной безопасности.</v>
      </c>
      <c r="B161" s="148"/>
      <c r="C161" s="148"/>
      <c r="D161" s="148"/>
      <c r="E161" s="148"/>
      <c r="F161" s="149">
        <f t="shared" si="15"/>
        <v>250</v>
      </c>
      <c r="G161" s="149"/>
      <c r="H161" s="24" t="str">
        <f t="shared" si="16"/>
        <v>разово</v>
      </c>
      <c r="I161" s="150">
        <f t="shared" si="17"/>
        <v>1</v>
      </c>
      <c r="J161" s="150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48" t="str">
        <f t="shared" si="14"/>
        <v>Частичный ремонт отмостки.</v>
      </c>
      <c r="B162" s="148"/>
      <c r="C162" s="148"/>
      <c r="D162" s="148"/>
      <c r="E162" s="148"/>
      <c r="F162" s="149">
        <f t="shared" si="15"/>
        <v>143789</v>
      </c>
      <c r="G162" s="149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72</v>
      </c>
      <c r="N162" s="1" t="str">
        <v>Частичный ремонт отмостки.</v>
      </c>
    </row>
    <row r="163" spans="1:14" ht="28.5" customHeight="1">
      <c r="A163" s="148" t="str">
        <f t="shared" si="14"/>
        <v>Ремонт тротуара перед подъездом литым асфальтом.</v>
      </c>
      <c r="B163" s="148"/>
      <c r="C163" s="148"/>
      <c r="D163" s="148"/>
      <c r="E163" s="148"/>
      <c r="F163" s="149">
        <f t="shared" si="15"/>
        <v>31178</v>
      </c>
      <c r="G163" s="149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72</v>
      </c>
      <c r="N163" s="1" t="str">
        <v>Ремонт тротуара перед подъездом литым асфальтом.</v>
      </c>
    </row>
    <row r="164" spans="1:14" ht="28.5" customHeight="1">
      <c r="A164" s="148" t="str">
        <f t="shared" ref="A164:A187" si="18">IF(N164&gt;0,N164,0)</f>
        <v>Замена общедомовых приборов учета электрической энергии и трансформаторов тока.</v>
      </c>
      <c r="B164" s="148"/>
      <c r="C164" s="148"/>
      <c r="D164" s="148"/>
      <c r="E164" s="148"/>
      <c r="F164" s="149">
        <f t="shared" ref="F164:F187" si="19">IF(ISERROR(VLOOKUP(A164,$A$28:$J$72,6,FALSE)),0,VLOOKUP(A164,$A$28:$J$72,6,FALSE))</f>
        <v>7178.8</v>
      </c>
      <c r="G164" s="149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72</v>
      </c>
      <c r="N164" s="1" t="str">
        <v>Замена общедомовых приборов учета электрической энергии и трансформаторов тока.</v>
      </c>
    </row>
    <row r="165" spans="1:14" ht="28.5" customHeight="1">
      <c r="A165" s="148" t="str">
        <f t="shared" si="18"/>
        <v>Приобретение и укладка грязезащитного коврика в тамбур подъезда.</v>
      </c>
      <c r="B165" s="148"/>
      <c r="C165" s="148"/>
      <c r="D165" s="148"/>
      <c r="E165" s="148"/>
      <c r="F165" s="149">
        <f t="shared" si="19"/>
        <v>1680</v>
      </c>
      <c r="G165" s="149"/>
      <c r="H165" s="29" t="str">
        <f t="shared" si="16"/>
        <v>разово</v>
      </c>
      <c r="I165" s="150">
        <f t="shared" si="20"/>
        <v>1</v>
      </c>
      <c r="J165" s="150"/>
      <c r="M165" s="22" t="s">
        <v>72</v>
      </c>
      <c r="N165" s="1" t="str">
        <v>Приобретение и укладка грязезащитного коврика в тамбур подъезда.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49">
        <f t="shared" si="19"/>
        <v>0</v>
      </c>
      <c r="G166" s="149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49">
        <f t="shared" si="19"/>
        <v>0</v>
      </c>
      <c r="G167" s="149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49">
        <f t="shared" si="19"/>
        <v>0</v>
      </c>
      <c r="G168" s="149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49">
        <f t="shared" si="19"/>
        <v>0</v>
      </c>
      <c r="G169" s="149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49">
        <f t="shared" si="19"/>
        <v>0</v>
      </c>
      <c r="G170" s="149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49">
        <f t="shared" si="19"/>
        <v>0</v>
      </c>
      <c r="G171" s="149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49">
        <f t="shared" si="19"/>
        <v>0</v>
      </c>
      <c r="G172" s="149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49">
        <f t="shared" si="19"/>
        <v>0</v>
      </c>
      <c r="G173" s="149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49">
        <f t="shared" si="19"/>
        <v>0</v>
      </c>
      <c r="G174" s="149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49">
        <f t="shared" si="19"/>
        <v>0</v>
      </c>
      <c r="G175" s="149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49">
        <f t="shared" si="19"/>
        <v>0</v>
      </c>
      <c r="G176" s="149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49">
        <f t="shared" si="19"/>
        <v>0</v>
      </c>
      <c r="G177" s="149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49">
        <f t="shared" si="19"/>
        <v>0</v>
      </c>
      <c r="G178" s="149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49">
        <f t="shared" si="19"/>
        <v>0</v>
      </c>
      <c r="G179" s="149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49">
        <f t="shared" si="19"/>
        <v>0</v>
      </c>
      <c r="G180" s="149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49">
        <f t="shared" si="19"/>
        <v>0</v>
      </c>
      <c r="G181" s="149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49">
        <f t="shared" si="19"/>
        <v>0</v>
      </c>
      <c r="G182" s="149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49">
        <f t="shared" si="19"/>
        <v>0</v>
      </c>
      <c r="G183" s="149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49">
        <f t="shared" si="19"/>
        <v>0</v>
      </c>
      <c r="G184" s="149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49">
        <f t="shared" si="19"/>
        <v>0</v>
      </c>
      <c r="G185" s="149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49">
        <f t="shared" si="19"/>
        <v>0</v>
      </c>
      <c r="G186" s="149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49">
        <f t="shared" si="19"/>
        <v>0</v>
      </c>
      <c r="G187" s="149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6" t="s">
        <v>175</v>
      </c>
    </row>
    <row r="189" spans="1:14" ht="29.25" customHeight="1">
      <c r="A189" s="106" t="s">
        <v>175</v>
      </c>
    </row>
    <row r="190" spans="1:14" ht="36.75" customHeight="1">
      <c r="A190" s="151" t="s">
        <v>184</v>
      </c>
      <c r="B190" s="151"/>
      <c r="C190" s="151"/>
      <c r="D190" s="151"/>
      <c r="E190" s="27">
        <f>SUM(F158:G187)</f>
        <v>196117.8</v>
      </c>
    </row>
    <row r="191" spans="1:14" ht="51.75" customHeight="1">
      <c r="A191" s="151" t="s">
        <v>183</v>
      </c>
      <c r="B191" s="151"/>
      <c r="C191" s="151"/>
      <c r="D191" s="151"/>
      <c r="E191" s="27">
        <f>E190+E154-E155</f>
        <v>-52589.986000000019</v>
      </c>
    </row>
    <row r="192" spans="1:14">
      <c r="A192" s="106" t="s">
        <v>175</v>
      </c>
    </row>
    <row r="193" spans="1:10" ht="62.25" customHeight="1">
      <c r="A193" s="176" t="s">
        <v>182</v>
      </c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1:10">
      <c r="A194" s="175" t="str">
        <f>ПТО!F12</f>
        <v xml:space="preserve">  -  поверка (замена) манометров и термометров</v>
      </c>
      <c r="B194" s="175"/>
      <c r="C194" s="175"/>
      <c r="D194" s="175"/>
      <c r="E194" s="175"/>
      <c r="F194" s="175"/>
      <c r="G194" s="175"/>
      <c r="H194" s="50">
        <f>ПТО!G12</f>
        <v>1200</v>
      </c>
      <c r="I194" s="51" t="s">
        <v>75</v>
      </c>
    </row>
    <row r="195" spans="1:10" ht="18.75" customHeight="1">
      <c r="A195" s="175" t="str">
        <f>ПТО!F13</f>
        <v xml:space="preserve">  -  техническое освидетельствование лифта</v>
      </c>
      <c r="B195" s="175"/>
      <c r="C195" s="175"/>
      <c r="D195" s="175"/>
      <c r="E195" s="175"/>
      <c r="F195" s="175"/>
      <c r="G195" s="175"/>
      <c r="H195" s="50">
        <f>ПТО!G13</f>
        <v>8100</v>
      </c>
      <c r="I195" s="51" t="s">
        <v>75</v>
      </c>
    </row>
    <row r="196" spans="1:10" ht="18.75" customHeight="1">
      <c r="A196" s="175" t="str">
        <f>ПТО!F14</f>
        <v xml:space="preserve">  -  монтаж греющего кабеля на кровле</v>
      </c>
      <c r="B196" s="175"/>
      <c r="C196" s="175"/>
      <c r="D196" s="175"/>
      <c r="E196" s="175"/>
      <c r="F196" s="175"/>
      <c r="G196" s="175"/>
      <c r="H196" s="50">
        <f>ПТО!G14</f>
        <v>150000</v>
      </c>
      <c r="I196" s="51" t="s">
        <v>75</v>
      </c>
    </row>
    <row r="197" spans="1:10" ht="18.75" hidden="1" customHeight="1">
      <c r="A197" s="175">
        <f>ПТО!F15</f>
        <v>0</v>
      </c>
      <c r="B197" s="175"/>
      <c r="C197" s="175"/>
      <c r="D197" s="175"/>
      <c r="E197" s="175"/>
      <c r="F197" s="175"/>
      <c r="G197" s="175"/>
      <c r="H197" s="50">
        <f>ПТО!G15</f>
        <v>0</v>
      </c>
      <c r="I197" s="51" t="s">
        <v>75</v>
      </c>
    </row>
    <row r="198" spans="1:10" ht="18.75" hidden="1" customHeight="1">
      <c r="A198" s="175">
        <f>ПТО!F16</f>
        <v>0</v>
      </c>
      <c r="B198" s="175"/>
      <c r="C198" s="175"/>
      <c r="D198" s="175"/>
      <c r="E198" s="175"/>
      <c r="F198" s="175"/>
      <c r="G198" s="175"/>
      <c r="H198" s="50">
        <f>ПТО!G16</f>
        <v>0</v>
      </c>
      <c r="I198" s="53" t="s">
        <v>75</v>
      </c>
    </row>
    <row r="199" spans="1:10" ht="18.75" hidden="1" customHeight="1">
      <c r="A199" s="175">
        <f>ПТО!F17</f>
        <v>0</v>
      </c>
      <c r="B199" s="175"/>
      <c r="C199" s="175"/>
      <c r="D199" s="175"/>
      <c r="E199" s="175"/>
      <c r="F199" s="175"/>
      <c r="G199" s="175"/>
      <c r="H199" s="50">
        <f>ПТО!G17</f>
        <v>0</v>
      </c>
      <c r="I199" s="51" t="s">
        <v>75</v>
      </c>
    </row>
    <row r="200" spans="1:10" hidden="1">
      <c r="A200" s="175">
        <f>ПТО!F18</f>
        <v>0</v>
      </c>
      <c r="B200" s="175"/>
      <c r="C200" s="175"/>
      <c r="D200" s="175"/>
      <c r="E200" s="175"/>
      <c r="F200" s="175"/>
      <c r="G200" s="175"/>
      <c r="H200" s="50">
        <f>ПТО!G18</f>
        <v>0</v>
      </c>
      <c r="I200" s="51" t="s">
        <v>75</v>
      </c>
    </row>
    <row r="201" spans="1:10" hidden="1">
      <c r="A201" s="175">
        <f>ПТО!F19</f>
        <v>0</v>
      </c>
      <c r="B201" s="175"/>
      <c r="C201" s="175"/>
      <c r="D201" s="175"/>
      <c r="E201" s="175"/>
      <c r="F201" s="175"/>
      <c r="G201" s="175"/>
      <c r="H201" s="50">
        <f>ПТО!G19</f>
        <v>0</v>
      </c>
      <c r="I201" s="51" t="s">
        <v>75</v>
      </c>
    </row>
    <row r="202" spans="1:10" hidden="1">
      <c r="A202" s="175">
        <f>ПТО!F20</f>
        <v>0</v>
      </c>
      <c r="B202" s="175"/>
      <c r="C202" s="175"/>
      <c r="D202" s="175"/>
      <c r="E202" s="175"/>
      <c r="F202" s="175"/>
      <c r="G202" s="175"/>
      <c r="H202" s="50">
        <f>ПТО!G20</f>
        <v>0</v>
      </c>
      <c r="I202" s="51" t="s">
        <v>75</v>
      </c>
    </row>
    <row r="203" spans="1:10" hidden="1">
      <c r="A203" s="175">
        <f>ПТО!F21</f>
        <v>0</v>
      </c>
      <c r="B203" s="175"/>
      <c r="C203" s="175"/>
      <c r="D203" s="175"/>
      <c r="E203" s="175"/>
      <c r="F203" s="175"/>
      <c r="G203" s="175"/>
      <c r="H203" s="50">
        <f>ПТО!G21</f>
        <v>0</v>
      </c>
      <c r="I203" s="51" t="s">
        <v>75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50">
        <f>ПТО!G22</f>
        <v>0</v>
      </c>
      <c r="I204" s="51" t="s">
        <v>75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50">
        <f>ПТО!G23</f>
        <v>0</v>
      </c>
      <c r="I205" s="51" t="s">
        <v>75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50">
        <f>ПТО!G24</f>
        <v>0</v>
      </c>
      <c r="I206" s="51" t="s">
        <v>75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50">
        <f>ПТО!G25</f>
        <v>0</v>
      </c>
      <c r="I207" s="51" t="s">
        <v>75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50">
        <f>ПТО!G26</f>
        <v>0</v>
      </c>
      <c r="I208" s="51" t="s">
        <v>75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50">
        <f>ПТО!G27</f>
        <v>0</v>
      </c>
      <c r="I209" s="51" t="s">
        <v>75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50">
        <f>ПТО!G28</f>
        <v>0</v>
      </c>
      <c r="I210" s="51" t="s">
        <v>75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50">
        <f>ПТО!G29</f>
        <v>0</v>
      </c>
      <c r="I211" s="51" t="s">
        <v>75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50">
        <f>ПТО!G30</f>
        <v>0</v>
      </c>
      <c r="I212" s="51" t="s">
        <v>75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159300</v>
      </c>
      <c r="I214" s="57" t="s">
        <v>78</v>
      </c>
    </row>
  </sheetData>
  <sheetProtection algorithmName="SHA-512" hashValue="1xfdJKUPhiMNkbuI65mGc6kkYCg2DXccEnB4qLNEkhtMBDJcpsUg6ah7M0HwbWly17fjq+/FhBpel2+dveu0ig==" saltValue="Gs6h9l/rrxSlyoZ0YnUmh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4" sqref="F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186</v>
      </c>
      <c r="G1" s="103">
        <f>-98533.21</f>
        <v>-98533.21</v>
      </c>
    </row>
    <row r="2" spans="1:12" ht="18.75" customHeight="1">
      <c r="A2" s="123" t="s">
        <v>73</v>
      </c>
      <c r="B2" s="122" t="s">
        <v>179</v>
      </c>
      <c r="C2" s="122">
        <v>1</v>
      </c>
      <c r="D2" s="120">
        <v>8100</v>
      </c>
      <c r="E2" s="121"/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190</v>
      </c>
      <c r="B3" s="125" t="s">
        <v>188</v>
      </c>
      <c r="C3" s="126">
        <v>1</v>
      </c>
      <c r="D3" s="120">
        <v>1700</v>
      </c>
      <c r="E3" s="127" t="s">
        <v>191</v>
      </c>
      <c r="F3" s="30"/>
      <c r="G3" s="30"/>
      <c r="L3" s="33" t="str">
        <f t="shared" si="0"/>
        <v>ТР</v>
      </c>
    </row>
    <row r="4" spans="1:12" ht="18.75" customHeight="1">
      <c r="A4" s="128" t="s">
        <v>187</v>
      </c>
      <c r="B4" s="129" t="s">
        <v>188</v>
      </c>
      <c r="C4" s="130">
        <v>1</v>
      </c>
      <c r="D4" s="131">
        <v>2242</v>
      </c>
      <c r="E4" s="127" t="s">
        <v>192</v>
      </c>
      <c r="F4" s="30"/>
      <c r="G4" s="30"/>
      <c r="L4" s="33" t="str">
        <f t="shared" si="0"/>
        <v>ТР</v>
      </c>
    </row>
    <row r="5" spans="1:12" ht="18.75" customHeight="1">
      <c r="A5" s="132" t="s">
        <v>189</v>
      </c>
      <c r="B5" s="133" t="s">
        <v>188</v>
      </c>
      <c r="C5" s="134">
        <v>1</v>
      </c>
      <c r="D5" s="135">
        <v>250</v>
      </c>
      <c r="E5" s="136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194</v>
      </c>
      <c r="B6" s="137" t="s">
        <v>188</v>
      </c>
      <c r="C6" s="43">
        <v>1</v>
      </c>
      <c r="D6" s="47">
        <v>143789</v>
      </c>
      <c r="E6" s="45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38" t="s">
        <v>196</v>
      </c>
      <c r="B7" s="139" t="s">
        <v>188</v>
      </c>
      <c r="C7" s="140">
        <v>1</v>
      </c>
      <c r="D7" s="47">
        <v>31178</v>
      </c>
      <c r="E7" s="138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141" t="s">
        <v>198</v>
      </c>
      <c r="B8" s="142" t="s">
        <v>188</v>
      </c>
      <c r="C8" s="133">
        <v>1</v>
      </c>
      <c r="D8" s="47">
        <v>7178.8</v>
      </c>
      <c r="E8" s="31" t="s">
        <v>199</v>
      </c>
      <c r="F8" s="46"/>
      <c r="G8" s="46"/>
      <c r="K8" s="44"/>
      <c r="L8" s="33" t="str">
        <f t="shared" si="0"/>
        <v>ТР</v>
      </c>
    </row>
    <row r="9" spans="1:12">
      <c r="A9" s="143" t="s">
        <v>200</v>
      </c>
      <c r="B9" s="144" t="s">
        <v>188</v>
      </c>
      <c r="C9" s="145">
        <v>1</v>
      </c>
      <c r="D9" s="146">
        <v>1680</v>
      </c>
      <c r="E9" s="136" t="s">
        <v>201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74</v>
      </c>
      <c r="G12" s="115">
        <v>1200</v>
      </c>
      <c r="L12" s="33">
        <f t="shared" si="0"/>
        <v>0</v>
      </c>
    </row>
    <row r="13" spans="1:12" ht="31.5">
      <c r="A13" s="30"/>
      <c r="F13" s="114" t="s">
        <v>76</v>
      </c>
      <c r="G13" s="115">
        <v>8100</v>
      </c>
      <c r="L13" s="33">
        <f t="shared" si="0"/>
        <v>0</v>
      </c>
    </row>
    <row r="14" spans="1:12" ht="15.75">
      <c r="A14" s="30"/>
      <c r="F14" s="147" t="s">
        <v>202</v>
      </c>
      <c r="G14" s="115">
        <v>150000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158095.20000000001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158095.20000000001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126412.8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126412.8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46573.08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46573.08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38018.879999999997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38018.879999999997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12672.96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12672.96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50375.040000000001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50375.040000000001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38">
        <v>53860.08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53860.08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ZiBZx6Qs84nNB8Nqjy647rllzyq7Ib+3Uc9KYaQI6YN32U4l/uz8TtsAOnyBjq97pYqBBNKf9fHsbnJHiVothw==" saltValue="vvB3btwNh8nJcxAnCsHyy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7" zoomScale="85" zoomScaleNormal="85" workbookViewId="0">
      <selection activeCell="F32" sqref="F31:F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180</v>
      </c>
      <c r="F1" s="61">
        <v>2640.2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247940.33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633421.71600000001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483247.14000000007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F1*4.74*12</f>
        <v>150174.576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687879.61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687879.61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687879.61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193482.43599999999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9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9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9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9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8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8"/>
      <c r="N26" s="64"/>
    </row>
    <row r="27" spans="1:15" ht="18.75" customHeight="1">
      <c r="A27" s="71" t="s">
        <v>106</v>
      </c>
      <c r="B27" s="76" t="s">
        <v>4</v>
      </c>
      <c r="C27" s="87">
        <v>70664.28</v>
      </c>
      <c r="D27" s="82" t="s">
        <v>60</v>
      </c>
      <c r="E27" s="65"/>
      <c r="F27" s="65"/>
      <c r="G27" s="65"/>
      <c r="H27" s="65"/>
      <c r="I27" s="65"/>
      <c r="J27" s="65"/>
      <c r="M27" s="178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8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8"/>
      <c r="N29" s="64"/>
    </row>
    <row r="30" spans="1:15" ht="18.75" customHeight="1">
      <c r="A30" s="71" t="s">
        <v>109</v>
      </c>
      <c r="B30" s="76" t="s">
        <v>18</v>
      </c>
      <c r="C30" s="87">
        <v>57349.809999999903</v>
      </c>
      <c r="D30" s="82" t="s">
        <v>66</v>
      </c>
      <c r="E30" s="65"/>
      <c r="F30" s="65"/>
      <c r="G30" s="65"/>
      <c r="H30" s="65"/>
      <c r="I30" s="65"/>
      <c r="J30" s="65"/>
      <c r="M30" s="178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8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8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8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8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36706.519999999997</v>
      </c>
      <c r="F37" s="95" t="s">
        <v>168</v>
      </c>
      <c r="G37" s="67"/>
      <c r="H37" s="67"/>
      <c r="I37" s="67"/>
      <c r="L37" s="64"/>
      <c r="M37" s="177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32198.701754385966</v>
      </c>
      <c r="D38" s="95" t="s">
        <v>166</v>
      </c>
      <c r="E38" s="69"/>
      <c r="G38" s="68"/>
      <c r="H38" s="68"/>
      <c r="L38" s="64"/>
      <c r="M38" s="177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43227.23000000001</v>
      </c>
      <c r="D39" s="95" t="s">
        <v>167</v>
      </c>
      <c r="E39" s="69"/>
      <c r="G39" s="68"/>
      <c r="H39" s="68"/>
      <c r="L39" s="64"/>
      <c r="M39" s="177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7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36706.519999999997</v>
      </c>
      <c r="D41" s="81" t="s">
        <v>59</v>
      </c>
      <c r="E41" s="69"/>
      <c r="G41" s="68"/>
      <c r="H41" s="68"/>
      <c r="L41" s="64"/>
      <c r="M41" s="177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36706.519999999997</v>
      </c>
      <c r="D42" s="81" t="s">
        <v>59</v>
      </c>
      <c r="E42" s="69"/>
      <c r="G42" s="68"/>
      <c r="H42" s="68"/>
      <c r="L42" s="64"/>
      <c r="M42" s="177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7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7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86761.59</v>
      </c>
      <c r="F45" s="95" t="s">
        <v>168</v>
      </c>
      <c r="G45" s="67"/>
      <c r="H45" s="67"/>
      <c r="L45" s="64"/>
      <c r="M45" s="177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6412.5343680709539</v>
      </c>
      <c r="D46" s="95" t="s">
        <v>169</v>
      </c>
      <c r="E46" s="69"/>
      <c r="G46" s="68"/>
      <c r="H46" s="68"/>
      <c r="L46" s="64"/>
      <c r="M46" s="177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90577.459999999992</v>
      </c>
      <c r="D47" s="95" t="s">
        <v>167</v>
      </c>
      <c r="E47" s="69"/>
      <c r="G47" s="68"/>
      <c r="H47" s="68"/>
      <c r="L47" s="64"/>
      <c r="M47" s="177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7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86761.59</v>
      </c>
      <c r="D49" s="81" t="s">
        <v>59</v>
      </c>
      <c r="E49" s="69"/>
      <c r="G49" s="68"/>
      <c r="H49" s="68"/>
      <c r="L49" s="64"/>
      <c r="M49" s="177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86761.59</v>
      </c>
      <c r="D50" s="81" t="s">
        <v>59</v>
      </c>
      <c r="E50" s="69"/>
      <c r="G50" s="68"/>
      <c r="H50" s="68"/>
      <c r="L50" s="64"/>
      <c r="M50" s="177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7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7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99627.560000000012</v>
      </c>
      <c r="F53" s="95" t="s">
        <v>168</v>
      </c>
      <c r="G53" s="67"/>
      <c r="H53" s="67"/>
      <c r="L53" s="64"/>
      <c r="M53" s="177"/>
      <c r="N53" s="64"/>
      <c r="O53" s="64"/>
    </row>
    <row r="54" spans="1:15" ht="18.75" customHeight="1">
      <c r="A54" s="74" t="s">
        <v>131</v>
      </c>
      <c r="B54" s="76" t="s">
        <v>37</v>
      </c>
      <c r="C54" s="100">
        <v>6456.7440051847061</v>
      </c>
      <c r="D54" s="95" t="s">
        <v>169</v>
      </c>
      <c r="E54" s="70"/>
      <c r="F54" s="90"/>
      <c r="G54" s="65"/>
      <c r="H54" s="65"/>
      <c r="L54" s="64"/>
      <c r="M54" s="177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102406.53999999998</v>
      </c>
      <c r="D55" s="95" t="s">
        <v>167</v>
      </c>
      <c r="E55" s="70"/>
      <c r="G55" s="65"/>
      <c r="H55" s="65"/>
      <c r="L55" s="64"/>
      <c r="M55" s="177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7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99627.560000000012</v>
      </c>
      <c r="D57" s="81" t="s">
        <v>59</v>
      </c>
      <c r="E57" s="70"/>
      <c r="G57" s="65"/>
      <c r="H57" s="65"/>
      <c r="L57" s="64"/>
      <c r="M57" s="177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99627.560000000012</v>
      </c>
      <c r="D58" s="81" t="s">
        <v>59</v>
      </c>
      <c r="E58" s="70"/>
      <c r="G58" s="65"/>
      <c r="H58" s="65"/>
      <c r="L58" s="64"/>
      <c r="M58" s="177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7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7"/>
      <c r="N60" s="64"/>
      <c r="O60" s="64"/>
    </row>
    <row r="61" spans="1:15" ht="15.75">
      <c r="A61" s="74" t="s">
        <v>138</v>
      </c>
      <c r="B61" s="78" t="s">
        <v>79</v>
      </c>
      <c r="C61" s="97" t="str">
        <f>IF(E61&gt;0,"Предоставляется",0)</f>
        <v>Предоставляется</v>
      </c>
      <c r="D61" s="97" t="s">
        <v>55</v>
      </c>
      <c r="E61" s="96">
        <v>113519.31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100">
        <v>200.24220775784516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113718.22000000004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113519.31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113519.31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100">
        <v>0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0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>
        <f>IF(E77&gt;0,"Предоставляется",0)</f>
        <v>0</v>
      </c>
      <c r="D77" s="97" t="s">
        <v>82</v>
      </c>
      <c r="E77" s="96">
        <v>0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100">
        <v>0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0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2021-03-15T02:57:16Z</dcterms:modified>
</cp:coreProperties>
</file>