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1" i="1"/>
  <c r="A97" i="1"/>
  <c r="G94" i="1"/>
  <c r="F94" i="1"/>
  <c r="K94" i="1"/>
  <c r="A113" i="1" l="1"/>
  <c r="F110" i="1"/>
  <c r="A117" i="1"/>
  <c r="A105" i="1"/>
  <c r="A119" i="1"/>
  <c r="A120" i="1"/>
  <c r="A118" i="1"/>
  <c r="A141" i="1"/>
  <c r="F134" i="1"/>
  <c r="A94" i="1"/>
  <c r="A95" i="1"/>
  <c r="A99" i="1"/>
  <c r="D118" i="1"/>
  <c r="A123" i="1"/>
  <c r="A98" i="1"/>
  <c r="D94" i="1"/>
  <c r="A96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79" i="1"/>
  <c r="H171" i="1"/>
  <c r="F186" i="1"/>
  <c r="F167" i="1"/>
  <c r="F168" i="1"/>
  <c r="F177" i="1"/>
  <c r="H165" i="1"/>
  <c r="H170" i="1"/>
  <c r="F179" i="1"/>
  <c r="F171" i="1"/>
  <c r="H173" i="1"/>
  <c r="H167" i="1"/>
  <c r="F170" i="1"/>
  <c r="F165" i="1"/>
  <c r="H186" i="1"/>
  <c r="F178" i="1"/>
  <c r="F172" i="1"/>
  <c r="H172" i="1"/>
  <c r="H178" i="1"/>
  <c r="H168" i="1"/>
  <c r="F173" i="1"/>
  <c r="F176" i="1"/>
  <c r="H176" i="1"/>
  <c r="H187" i="1"/>
  <c r="F175" i="1"/>
  <c r="H184" i="1"/>
  <c r="F184" i="1"/>
  <c r="H164" i="1"/>
  <c r="F187" i="1"/>
  <c r="F181" i="1"/>
  <c r="F180" i="1"/>
  <c r="H166" i="1"/>
  <c r="F169" i="1"/>
  <c r="H185" i="1"/>
  <c r="H181" i="1"/>
  <c r="F166" i="1"/>
  <c r="F185" i="1"/>
  <c r="F164" i="1"/>
  <c r="F182" i="1"/>
  <c r="H169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<sst xmlns="http://schemas.openxmlformats.org/spreadsheetml/2006/main" count="553" uniqueCount="203">
  <si>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</si>
  <si>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</si>
  <si>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</si>
  <si>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</si>
  <si>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</si>
  <si>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</si>
  <si>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</si>
  <si>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</si>
  <si>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</si>
  <si>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</si>
  <si>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</si>
  <si>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</si>
  <si>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</si>
  <si>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</si>
  <si>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</si>
  <si>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</si>
  <si>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</si>
  <si>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</si>
  <si>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</si>
  <si>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</si>
  <si>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</si>
  <si>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</si>
  <si>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</si>
  <si>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</si>
  <si>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</si>
  <si>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</si>
  <si>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</si>
  <si>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</si>
  <si>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</si>
  <si>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</si>
  <si>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</si>
  <si>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</si>
  <si>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</si>
  <si>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</si>
  <si>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</si>
  <si>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</si>
  <si>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</si>
  <si>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</si>
  <si>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</si>
  <si>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</si>
  <si>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</si>
  <si>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</si>
  <si>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</si>
  <si>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</si>
  <si>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</si>
  <si>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</si>
  <si>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</si>
  <si>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</si>
  <si>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</si>
  <si>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</si>
  <si>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</si>
  <si>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</si>
  <si>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</si>
  <si>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</si>
  <si>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</si>
  <si>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</si>
  <si>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</si>
  <si>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</si>
  <si>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</si>
  <si>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</si>
  <si>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</si>
  <si>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</si>
  <si>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</si>
  <si>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</si>
  <si>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</si>
  <si>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</si>
  <si>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</si>
  <si>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</si>
  <si>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</si>
  <si>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</si>
  <si>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</si>
  <si>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</si>
  <si>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</si>
  <si>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</si>
  <si>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</si>
  <si>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</si>
  <si>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</si>
  <si>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</si>
  <si>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</si>
  <si>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</si>
  <si>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</si>
  <si>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</si>
  <si>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</si>
  <si>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</si>
  <si>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</si>
  <si>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</si>
  <si>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</si>
  <si>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</si>
  <si>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</si>
  <si>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</si>
  <si>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</si>
  <si>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</si>
  <si>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</si>
  <si>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</si>
  <si>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</si>
  <si>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</si>
  <si>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</si>
  <si>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</si>
  <si>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</si>
  <si>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</si>
  <si>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</si>
  <si>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</si>
  <si>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</si>
  <si>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</si>
  <si>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</si>
  <si>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</si>
  <si>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</si>
  <si>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</si>
  <si>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</si>
  <si>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</si>
  <si>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</si>
  <si>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</si>
  <si>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</si>
  <si>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</si>
  <si>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</si>
  <si>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</si>
  <si>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</si>
  <si>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</si>
  <si>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</si>
  <si>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</si>
  <si>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</si>
  <si>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</si>
  <si>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</si>
  <si>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</si>
  <si>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</si>
  <si>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</si>
  <si>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</si>
  <si>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</si>
  <si>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</si>
  <si>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</si>
  <si>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</si>
  <si>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</si>
  <si>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</si>
  <si>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</si>
  <si>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</si>
  <si>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</si>
  <si>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</si>
  <si>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</si>
  <si>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</si>
  <si>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</si>
  <si>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</si>
  <si>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</si>
  <si>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</si>
  <si>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</si>
  <si>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</si>
  <si>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</si>
  <si>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</si>
  <si>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</si>
  <si>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</si>
  <si>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</si>
  <si>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</si>
  <si>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</si>
  <si>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</si>
  <si>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</si>
  <si>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</si>
  <si>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</si>
  <si>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</si>
  <si>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</si>
  <si>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</si>
  <si>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</si>
  <si>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</si>
  <si>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</si>
  <si>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</si>
  <si>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</si>
  <si>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</si>
  <si>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</si>
  <si>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</si>
  <si>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</si>
  <si>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</si>
  <si>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</si>
  <si>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</si>
  <si>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</si>
  <si>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</si>
  <si>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</si>
  <si>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</si>
  <si>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</si>
  <si>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</si>
  <si>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</si>
  <si>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</si>
  <si>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</si>
  <si>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</si>
  <si>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</si>
  <si>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</si>
  <si>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</si>
  <si>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</si>
  <si>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>Установка шаровых кранов под приварку Ду 65, 80 в ИТП.</t>
  </si>
  <si>
    <t xml:space="preserve">  -  ремонт подъезда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</si>
  <si>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</si>
  <si>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</si>
  <si>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</si>
  <si>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</si>
  <si>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</si>
  <si>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Отчет об исполнении договора управления многоквартирного дома 
Александра Невского, 99/2 в части текущего ремонта</t>
  </si>
  <si>
    <t>АВР 1/20 от 30.12.2019, счет №77 от 30.12.2019</t>
  </si>
  <si>
    <t>Механизированная уборка и вывоз снега с придомовой территории (январь).</t>
  </si>
  <si>
    <t xml:space="preserve">Механизированная уборка и вывоз снега с придомовой территории (март). </t>
  </si>
  <si>
    <t>Приобретение и установка таблички по пожарной безопасности.</t>
  </si>
  <si>
    <t>Ремонт пассажирского лифта (замена тяговых канатов).</t>
  </si>
  <si>
    <t>АВР 4/20 от 12.03.2020, счет от 12.03.2020</t>
  </si>
  <si>
    <t>АВР 3/20 от 06.03.2020, счет №10 от 06.03.2020</t>
  </si>
  <si>
    <t>АВР 2/20 от 02.02.2020, счет №7479 от 03.12.2019</t>
  </si>
  <si>
    <t xml:space="preserve">АВР 5/20 от 01.06.2020, Решение, смета </t>
  </si>
  <si>
    <t xml:space="preserve">  -  замена задвижек на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</si>
</sst>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</cellStyleXfs>
  <cellXfs count="175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8" fillId="6" borderId="0" xfId="5" applyFill="1" applyBorder="1" applyAlignment="1"/>
    <xf numFmtId="0" fontId="8" fillId="6" borderId="0" xfId="5" applyFill="1" applyBorder="1" applyAlignment="1">
      <alignment horizontal="center"/>
    </xf>
    <xf numFmtId="4" fontId="8" fillId="6" borderId="0" xfId="5" applyNumberFormat="1" applyFill="1" applyBorder="1" applyAlignment="1"/>
    <xf numFmtId="0" fontId="0" fillId="6" borderId="0" xfId="0" applyFill="1" applyBorder="1"/>
    <xf numFmtId="0" fontId="23" fillId="6" borderId="0" xfId="5" applyFont="1" applyFill="1" applyBorder="1" applyAlignment="1"/>
    <xf numFmtId="0" fontId="23" fillId="6" borderId="0" xfId="5" applyFont="1" applyFill="1" applyBorder="1" applyAlignment="1">
      <alignment horizontal="center"/>
    </xf>
    <xf numFmtId="0" fontId="23" fillId="6" borderId="0" xfId="5" applyNumberFormat="1" applyFont="1" applyFill="1" applyBorder="1" applyAlignment="1">
      <alignment horizontal="center"/>
    </xf>
    <xf numFmtId="4" fontId="23" fillId="6" borderId="0" xfId="5" applyNumberFormat="1" applyFont="1" applyFill="1" applyBorder="1" applyAlignment="1"/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 applyBorder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51" zoomScaleNormal="100" zoomScaleSheetLayoutView="100" workbookViewId="0">
      <selection activeCell="M14" sqref="M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5" t="s">
        <v>178</v>
      </c>
      <c r="B2" s="165"/>
      <c r="C2" s="165"/>
      <c r="D2" s="165"/>
      <c r="E2" s="165"/>
      <c r="F2" s="165"/>
      <c r="G2" s="165"/>
      <c r="H2" s="165"/>
      <c r="I2" s="165"/>
      <c r="J2" s="16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0"/>
      <c r="L8" s="166"/>
      <c r="M8" s="110"/>
      <c r="N8" s="110"/>
      <c r="O8" s="70" t="s">
        <v>84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0"/>
      <c r="L9" s="166"/>
      <c r="M9" s="110"/>
      <c r="N9" s="110"/>
      <c r="O9" s="70" t="s">
        <v>85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216517.58800000011</v>
      </c>
      <c r="K10" s="110"/>
      <c r="L10" s="166"/>
      <c r="M10" s="110"/>
      <c r="N10" s="110"/>
      <c r="O10" s="70" t="s">
        <v>86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793307.50800000015</v>
      </c>
      <c r="K11" s="110"/>
      <c r="L11" s="166"/>
      <c r="M11" s="110"/>
      <c r="N11" s="110"/>
      <c r="O11" s="70" t="s">
        <v>87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605711.58000000007</v>
      </c>
      <c r="K12" s="110"/>
      <c r="L12" s="166"/>
      <c r="M12" s="110"/>
      <c r="N12" s="110"/>
      <c r="O12" s="70" t="s">
        <v>88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187595.92800000001</v>
      </c>
      <c r="K13" s="110"/>
      <c r="L13" s="166"/>
      <c r="M13" s="110"/>
      <c r="N13" s="110"/>
      <c r="O13" s="70" t="s">
        <v>89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10"/>
      <c r="L14" s="166"/>
      <c r="M14" s="110"/>
      <c r="N14" s="110"/>
      <c r="O14" s="70" t="s">
        <v>90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959555.37</v>
      </c>
      <c r="K15" s="110"/>
      <c r="L15" s="166"/>
      <c r="M15" s="110"/>
      <c r="N15" s="110"/>
      <c r="O15" s="70" t="s">
        <v>91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959555.37</v>
      </c>
      <c r="K16" s="110"/>
      <c r="L16" s="166"/>
      <c r="M16" s="110"/>
      <c r="N16" s="110"/>
      <c r="O16" s="70" t="s">
        <v>92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0"/>
      <c r="L17" s="166"/>
      <c r="M17" s="110"/>
      <c r="N17" s="110"/>
      <c r="O17" s="70" t="s">
        <v>93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0"/>
      <c r="L18" s="166"/>
      <c r="M18" s="110"/>
      <c r="N18" s="110"/>
      <c r="O18" s="70" t="s">
        <v>94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0"/>
      <c r="L19" s="166"/>
      <c r="M19" s="110"/>
      <c r="N19" s="110"/>
      <c r="O19" s="70" t="s">
        <v>95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0"/>
      <c r="L20" s="166"/>
      <c r="M20" s="110"/>
      <c r="N20" s="110"/>
      <c r="O20" s="70" t="s">
        <v>96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959555.37</v>
      </c>
      <c r="K21" s="110"/>
      <c r="L21" s="166"/>
      <c r="M21" s="110"/>
      <c r="N21" s="110"/>
      <c r="O21" s="70" t="s">
        <v>97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0"/>
      <c r="L22" s="166"/>
      <c r="M22" s="110"/>
      <c r="N22" s="110"/>
      <c r="O22" s="70" t="s">
        <v>98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0"/>
      <c r="L23" s="166"/>
      <c r="M23" s="110"/>
      <c r="N23" s="110"/>
      <c r="O23" s="70" t="s">
        <v>99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50269.726000000257</v>
      </c>
      <c r="K24" s="110"/>
      <c r="L24" s="166"/>
      <c r="M24" s="110"/>
      <c r="N24" s="110"/>
      <c r="O24" s="70" t="s">
        <v>100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0"/>
      <c r="L27" s="16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4">
        <f>VLOOKUP(A28,ПТО!$A$39:$D$53,2,FALSE)</f>
        <v>235880.16</v>
      </c>
      <c r="G28" s="144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0"/>
      <c r="L28" s="16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4">
        <f>VLOOKUP(A29,ПТО!$A$39:$D$53,2,FALSE)</f>
        <v>67677</v>
      </c>
      <c r="G29" s="144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0"/>
      <c r="L29" s="167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4">
        <f>VLOOKUP(A30,ПТО!$A$39:$D$53,2,FALSE)</f>
        <v>45513.84</v>
      </c>
      <c r="G30" s="144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0"/>
      <c r="L30" s="16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4">
        <f>VLOOKUP(A31,ПТО!$A$39:$D$53,2,FALSE)</f>
        <v>47492.639999999999</v>
      </c>
      <c r="G31" s="144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0"/>
      <c r="L31" s="16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0"/>
      <c r="L32" s="16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4">
        <f>VLOOKUP(A33,ПТО!$A$39:$D$53,2,FALSE)</f>
        <v>13456.2</v>
      </c>
      <c r="G33" s="144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0"/>
      <c r="L33" s="16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4">
        <f>VLOOKUP(A34,ПТО!$A$39:$D$53,2,FALSE)</f>
        <v>46701.120000000003</v>
      </c>
      <c r="G34" s="144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0"/>
      <c r="L34" s="16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3"/>
      <c r="C35" s="143"/>
      <c r="D35" s="143"/>
      <c r="E35" s="143"/>
      <c r="F35" s="144">
        <f>VLOOKUP(A35,ПТО!$A$39:$D$53,2,FALSE)</f>
        <v>157913.04</v>
      </c>
      <c r="G35" s="144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10"/>
      <c r="L35" s="167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0"/>
      <c r="L36" s="167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0"/>
      <c r="L37" s="167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0"/>
      <c r="L38" s="167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0"/>
      <c r="L39" s="167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0"/>
      <c r="L40" s="167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0"/>
      <c r="L41" s="167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0"/>
      <c r="L42" s="167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освидетельствование лифта.</v>
      </c>
      <c r="B43" s="143"/>
      <c r="C43" s="143"/>
      <c r="D43" s="143"/>
      <c r="E43" s="143"/>
      <c r="F43" s="144">
        <f>VLOOKUP(A43,ПТО!$A$2:$D$31,4,FALSE)</f>
        <v>8100</v>
      </c>
      <c r="G43" s="144"/>
      <c r="H43" s="19" t="str">
        <f>VLOOKUP(A43,ПТО!$A$2:$D$31,2,FALSE)</f>
        <v>ежегодно</v>
      </c>
      <c r="I43" s="145">
        <f>VLOOKUP(A43,ПТО!$A$2:$D$31,3,FALSE)</f>
        <v>1</v>
      </c>
      <c r="J43" s="145"/>
      <c r="K43" s="110"/>
      <c r="L43" s="167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3" t="str">
        <f>ПТО!A3</f>
        <v>Техническое обслуживание системы видеонаблюдения.</v>
      </c>
      <c r="B44" s="143"/>
      <c r="C44" s="143"/>
      <c r="D44" s="143"/>
      <c r="E44" s="143"/>
      <c r="F44" s="144">
        <f>VLOOKUP(A44,ПТО!$A$2:$D$31,4,FALSE)</f>
        <v>5240</v>
      </c>
      <c r="G44" s="144"/>
      <c r="H44" s="25" t="str">
        <f>VLOOKUP(A44,ПТО!$A$2:$D$31,2,FALSE)</f>
        <v>ежемесячно</v>
      </c>
      <c r="I44" s="145">
        <f>VLOOKUP(A44,ПТО!$A$2:$D$31,3,FALSE)</f>
        <v>12</v>
      </c>
      <c r="J44" s="145"/>
      <c r="K44" s="110"/>
      <c r="L44" s="167"/>
      <c r="M44" s="117"/>
      <c r="N44" s="110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43" t="str">
        <f>ПТО!A4</f>
        <v>Механизированная уборка и вывоз снега с придомовой территории (январь).</v>
      </c>
      <c r="B45" s="143"/>
      <c r="C45" s="143"/>
      <c r="D45" s="143"/>
      <c r="E45" s="143"/>
      <c r="F45" s="144">
        <f>VLOOKUP(A45,ПТО!$A$2:$D$31,4,FALSE)</f>
        <v>8225</v>
      </c>
      <c r="G45" s="144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0"/>
      <c r="L45" s="167"/>
      <c r="M45" s="117"/>
      <c r="N45" s="110"/>
      <c r="O45" s="23" t="str">
        <f t="shared" si="1"/>
        <v>Механизированная уборка и вывоз снега с придомовой территории (январь).</v>
      </c>
      <c r="R45" s="22" t="s">
        <v>72</v>
      </c>
    </row>
    <row r="46" spans="1:18" ht="51" customHeight="1" outlineLevel="1">
      <c r="A46" s="143" t="str">
        <f>ПТО!A5</f>
        <v>Установка шаровых кранов под приварку Ду 65, 80 в ИТП.</v>
      </c>
      <c r="B46" s="143"/>
      <c r="C46" s="143"/>
      <c r="D46" s="143"/>
      <c r="E46" s="143"/>
      <c r="F46" s="144">
        <f>VLOOKUP(A46,ПТО!$A$2:$D$31,4,FALSE)</f>
        <v>6073.7</v>
      </c>
      <c r="G46" s="144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0"/>
      <c r="L46" s="167"/>
      <c r="M46" s="117"/>
      <c r="N46" s="110"/>
      <c r="O46" s="23" t="str">
        <f t="shared" si="1"/>
        <v>Установка шаровых кранов под приварку Ду 65, 80 в ИТП.</v>
      </c>
      <c r="R46" s="22" t="s">
        <v>72</v>
      </c>
    </row>
    <row r="47" spans="1:18" ht="51" customHeight="1" outlineLevel="1">
      <c r="A47" s="143" t="str">
        <f>ПТО!A6</f>
        <v xml:space="preserve">Механизированная уборка и вывоз снега с придомовой территории (март). </v>
      </c>
      <c r="B47" s="143"/>
      <c r="C47" s="143"/>
      <c r="D47" s="143"/>
      <c r="E47" s="143"/>
      <c r="F47" s="144">
        <f>VLOOKUP(A47,ПТО!$A$2:$D$31,4,FALSE)</f>
        <v>5515</v>
      </c>
      <c r="G47" s="144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0"/>
      <c r="L47" s="167"/>
      <c r="M47" s="117"/>
      <c r="N47" s="110"/>
      <c r="O47" s="23" t="str">
        <f t="shared" si="1"/>
        <v xml:space="preserve">Механизированная уборка и вывоз снега с придомовой территории (март). </v>
      </c>
      <c r="R47" s="22" t="s">
        <v>72</v>
      </c>
    </row>
    <row r="48" spans="1:18" ht="51" customHeight="1" outlineLevel="1">
      <c r="A48" s="143" t="str">
        <f>ПТО!A7</f>
        <v>Приобретение и установка таблички по пожарной безопасности.</v>
      </c>
      <c r="B48" s="143"/>
      <c r="C48" s="143"/>
      <c r="D48" s="143"/>
      <c r="E48" s="143"/>
      <c r="F48" s="144">
        <f>VLOOKUP(A48,ПТО!$A$2:$D$31,4,FALSE)</f>
        <v>250</v>
      </c>
      <c r="G48" s="144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10"/>
      <c r="L48" s="167"/>
      <c r="M48" s="117"/>
      <c r="N48" s="110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43" t="str">
        <f>ПТО!A8</f>
        <v>Ремонт пассажирского лифта (замена тяговых канатов).</v>
      </c>
      <c r="B49" s="143"/>
      <c r="C49" s="143"/>
      <c r="D49" s="143"/>
      <c r="E49" s="143"/>
      <c r="F49" s="144">
        <f>VLOOKUP(A49,ПТО!$A$2:$D$31,4,FALSE)</f>
        <v>13279.15</v>
      </c>
      <c r="G49" s="144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10"/>
      <c r="L49" s="167"/>
      <c r="M49" s="117"/>
      <c r="N49" s="110"/>
      <c r="O49" s="23" t="str">
        <f t="shared" si="1"/>
        <v>Ремонт пассажирского лифта (замена тяговых канатов).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0"/>
      <c r="L50" s="167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0"/>
      <c r="L51" s="167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0"/>
      <c r="L52" s="167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0"/>
      <c r="L53" s="167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0"/>
      <c r="L54" s="167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0"/>
      <c r="L55" s="167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0"/>
      <c r="L56" s="167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0"/>
      <c r="L57" s="167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0"/>
      <c r="L58" s="167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0"/>
      <c r="L59" s="167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0"/>
      <c r="L60" s="167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0"/>
      <c r="L61" s="167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0"/>
      <c r="L62" s="167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0"/>
      <c r="L63" s="167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0"/>
      <c r="L64" s="167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0"/>
      <c r="L65" s="167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0"/>
      <c r="L66" s="167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0"/>
      <c r="L67" s="167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0"/>
      <c r="L68" s="167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0"/>
      <c r="L69" s="167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0"/>
      <c r="L70" s="167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7"/>
      <c r="L71" s="167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0"/>
      <c r="L72" s="167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176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0"/>
      <c r="L75" s="150"/>
      <c r="M75" s="110"/>
      <c r="N75" s="110"/>
      <c r="O75" s="70" t="s">
        <v>101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0"/>
      <c r="L76" s="150"/>
      <c r="M76" s="110"/>
      <c r="N76" s="110"/>
      <c r="O76" s="70" t="s">
        <v>102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0"/>
      <c r="L77" s="150"/>
      <c r="M77" s="110"/>
      <c r="N77" s="110"/>
      <c r="O77" s="70" t="s">
        <v>103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10"/>
      <c r="L78" s="150"/>
      <c r="M78" s="110"/>
      <c r="N78" s="110"/>
      <c r="O78" s="70" t="s">
        <v>104</v>
      </c>
    </row>
    <row r="79" spans="1:16384">
      <c r="A79" s="11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7">
        <f t="shared" ref="J81:J90" si="2">VLOOKUP(O81,АО,3,FALSE)</f>
        <v>0</v>
      </c>
      <c r="K81" s="110"/>
      <c r="L81" s="168"/>
      <c r="M81" s="110"/>
      <c r="N81" s="110"/>
      <c r="O81" s="70" t="s">
        <v>105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7">
        <f t="shared" si="2"/>
        <v>0</v>
      </c>
      <c r="K82" s="110"/>
      <c r="L82" s="168"/>
      <c r="M82" s="110"/>
      <c r="N82" s="110"/>
      <c r="O82" s="70" t="s">
        <v>106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7">
        <f t="shared" si="2"/>
        <v>96465.96</v>
      </c>
      <c r="K83" s="110"/>
      <c r="L83" s="168"/>
      <c r="M83" s="110"/>
      <c r="N83" s="110"/>
      <c r="O83" s="70" t="s">
        <v>107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7">
        <f t="shared" si="2"/>
        <v>0</v>
      </c>
      <c r="K84" s="110"/>
      <c r="L84" s="168"/>
      <c r="M84" s="110"/>
      <c r="N84" s="110"/>
      <c r="O84" s="70" t="s">
        <v>108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7">
        <f t="shared" si="2"/>
        <v>0</v>
      </c>
      <c r="K85" s="110"/>
      <c r="L85" s="168"/>
      <c r="M85" s="110"/>
      <c r="N85" s="110"/>
      <c r="O85" s="70" t="s">
        <v>109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7">
        <f t="shared" si="2"/>
        <v>22566.35</v>
      </c>
      <c r="K86" s="110"/>
      <c r="L86" s="168"/>
      <c r="M86" s="110"/>
      <c r="N86" s="110"/>
      <c r="O86" s="70" t="s">
        <v>110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0"/>
      <c r="L87" s="168"/>
      <c r="M87" s="110"/>
      <c r="N87" s="110"/>
      <c r="O87" s="70" t="s">
        <v>111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0"/>
      <c r="L88" s="168"/>
      <c r="M88" s="110"/>
      <c r="N88" s="110"/>
      <c r="O88" s="70" t="s">
        <v>112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0"/>
      <c r="L89" s="168"/>
      <c r="M89" s="110"/>
      <c r="N89" s="110"/>
      <c r="O89" s="70" t="s">
        <v>113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7">
        <f t="shared" si="2"/>
        <v>0</v>
      </c>
      <c r="K90" s="110"/>
      <c r="L90" s="168"/>
      <c r="M90" s="110"/>
      <c r="N90" s="110"/>
      <c r="O90" s="70" t="s">
        <v>114</v>
      </c>
    </row>
    <row r="91" spans="1:15">
      <c r="A91" s="105" t="s">
        <v>176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2" t="s">
        <v>48</v>
      </c>
      <c r="B93" s="152"/>
      <c r="C93" s="152"/>
      <c r="D93" s="155" t="s">
        <v>49</v>
      </c>
      <c r="E93" s="155"/>
      <c r="F93" s="10" t="s">
        <v>50</v>
      </c>
      <c r="G93" s="152" t="s">
        <v>51</v>
      </c>
      <c r="H93" s="152"/>
      <c r="I93" s="152"/>
      <c r="J93" s="152"/>
      <c r="K93" s="110"/>
      <c r="L93" s="110"/>
      <c r="M93" s="110"/>
      <c r="N93" s="110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3">
        <f>VLOOKUP("эл",АО,5,FALSE)</f>
        <v>170373.92</v>
      </c>
      <c r="H94" s="154"/>
      <c r="I94" s="154"/>
      <c r="J94" s="154"/>
      <c r="K94" s="1" t="str">
        <f>VLOOKUP("эл",АО,2,FALSE)</f>
        <v>Электроснабжение</v>
      </c>
      <c r="L94" s="169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149450.80701754388</v>
      </c>
      <c r="L95" s="169"/>
      <c r="O95" s="1" t="s">
        <v>115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256009.86</v>
      </c>
      <c r="L96" s="169"/>
      <c r="O96" s="1" t="s">
        <v>116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69"/>
      <c r="O97" s="1" t="s">
        <v>117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170373.92</v>
      </c>
      <c r="L98" s="169"/>
      <c r="O98" s="1" t="s">
        <v>118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170373.92</v>
      </c>
      <c r="L99" s="169"/>
      <c r="O99" s="1" t="s">
        <v>119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69"/>
      <c r="O100" s="1" t="s">
        <v>120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69"/>
      <c r="O101" s="1" t="s">
        <v>121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3">
        <f>VLOOKUP("хвс",АО,5,FALSE)</f>
        <v>65394.729999999989</v>
      </c>
      <c r="H102" s="154"/>
      <c r="I102" s="154"/>
      <c r="J102" s="154"/>
      <c r="L102" s="169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4833.3133776792311</v>
      </c>
      <c r="L103" s="169"/>
      <c r="O103" s="1" t="s">
        <v>124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65402.349999999984</v>
      </c>
      <c r="L104" s="169"/>
      <c r="O104" s="1" t="s">
        <v>125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0</v>
      </c>
      <c r="L105" s="169"/>
      <c r="O105" s="1" t="s">
        <v>126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65394.729999999989</v>
      </c>
      <c r="L106" s="169"/>
      <c r="O106" s="1" t="s">
        <v>127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65394.729999999989</v>
      </c>
      <c r="L107" s="169"/>
      <c r="O107" s="1" t="s">
        <v>128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69"/>
      <c r="O108" s="1" t="s">
        <v>129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69"/>
      <c r="O109" s="1" t="s">
        <v>130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3">
        <f>VLOOKUP("воо",АО,5,FALSE)</f>
        <v>124224.03</v>
      </c>
      <c r="H110" s="154"/>
      <c r="I110" s="154"/>
      <c r="J110" s="154"/>
      <c r="L110" s="169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8050.8120544394042</v>
      </c>
      <c r="L111" s="169"/>
      <c r="O111" s="1" t="s">
        <v>132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121115.03</v>
      </c>
      <c r="L112" s="169"/>
      <c r="O112" s="1" t="s">
        <v>133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3109</v>
      </c>
      <c r="L113" s="169"/>
      <c r="O113" s="1" t="s">
        <v>134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124224.03</v>
      </c>
      <c r="L114" s="169"/>
      <c r="O114" s="1" t="s">
        <v>135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124224.03</v>
      </c>
      <c r="L115" s="169"/>
      <c r="O115" s="1" t="s">
        <v>136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9"/>
      <c r="O116" s="1" t="s">
        <v>137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9"/>
      <c r="O117" s="1" t="s">
        <v>138</v>
      </c>
    </row>
    <row r="118" spans="1:15" ht="32.25" customHeight="1" outlineLevel="1">
      <c r="A118" s="156" t="str">
        <f>IF(VLOOKUP("тко",АО,3,FALSE)&gt;0,"Обращение с ТКО",0)</f>
        <v>Обращение с ТКО</v>
      </c>
      <c r="B118" s="156"/>
      <c r="C118" s="156"/>
      <c r="D118" s="154" t="str">
        <f>IF(VLOOKUP("тко",АО,3,FALSE)&gt;0,VLOOKUP("тко",АО,3,FALSE),0)</f>
        <v>Предоставляется</v>
      </c>
      <c r="E118" s="154"/>
      <c r="F118" s="13" t="str">
        <f>IF(VLOOKUP("тко",АО,3,FALSE)&gt;0,VLOOKUP("тко",АО,4,FALSE),0)</f>
        <v>куб.м.</v>
      </c>
      <c r="G118" s="153">
        <f>VLOOKUP("тко",АО,5,FALSE)</f>
        <v>126889.65000000002</v>
      </c>
      <c r="H118" s="154"/>
      <c r="I118" s="154"/>
      <c r="J118" s="154"/>
      <c r="L118" s="48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223.82679790442933</v>
      </c>
      <c r="L119" s="48"/>
      <c r="O119" s="1" t="s">
        <v>140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118254.70000000001</v>
      </c>
      <c r="L120" s="48"/>
      <c r="O120" s="1" t="s">
        <v>141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8634.9500000000116</v>
      </c>
      <c r="L121" s="48"/>
      <c r="O121" s="1" t="s">
        <v>142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126889.65000000002</v>
      </c>
      <c r="L122" s="48"/>
      <c r="O122" s="1" t="s">
        <v>143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126889.65000000002</v>
      </c>
      <c r="L123" s="48"/>
      <c r="O123" s="1" t="s">
        <v>144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56">
        <f>IF(VLOOKUP("гвс",АО,3,FALSE)&gt;0,"Горячее водоснабжение",0)</f>
        <v>0</v>
      </c>
      <c r="B126" s="156"/>
      <c r="C126" s="156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3">
        <f>VLOOKUP("гвс",АО,5,FALSE)</f>
        <v>0</v>
      </c>
      <c r="H126" s="154"/>
      <c r="I126" s="154"/>
      <c r="J126" s="154"/>
      <c r="L126" s="48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4"/>
      <c r="I134" s="154"/>
      <c r="J134" s="154"/>
      <c r="L134" s="48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172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51" t="s">
        <v>175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0</v>
      </c>
      <c r="O146" t="s">
        <v>174</v>
      </c>
    </row>
    <row r="149" spans="1:15" ht="52.5" customHeight="1">
      <c r="A149" s="147" t="s">
        <v>192</v>
      </c>
      <c r="B149" s="147"/>
      <c r="C149" s="147"/>
      <c r="D149" s="147"/>
      <c r="E149" s="147"/>
      <c r="F149" s="147"/>
      <c r="G149" s="147"/>
      <c r="H149" s="147"/>
      <c r="I149" s="147"/>
      <c r="J149" s="14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6" t="s">
        <v>187</v>
      </c>
      <c r="B154" s="146"/>
      <c r="C154" s="146"/>
      <c r="D154" s="146"/>
      <c r="E154" s="27">
        <f>ПТО!G1</f>
        <v>-174151.59</v>
      </c>
    </row>
    <row r="155" spans="1:15" ht="34.5" customHeight="1">
      <c r="A155" s="148" t="s">
        <v>189</v>
      </c>
      <c r="B155" s="148"/>
      <c r="C155" s="148"/>
      <c r="D155" s="148"/>
      <c r="E155" s="28">
        <f>J13</f>
        <v>187595.92800000001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3" t="str">
        <f t="shared" ref="A158:A163" si="14">IF(N158&gt;0,N158,0)</f>
        <v>Техническое освидетельствование лифта.</v>
      </c>
      <c r="B158" s="143"/>
      <c r="C158" s="143"/>
      <c r="D158" s="143"/>
      <c r="E158" s="143"/>
      <c r="F158" s="144">
        <f t="shared" ref="F158:F163" si="15">IF(ISERROR(VLOOKUP(A158,$A$28:$J$72,6,FALSE)),0,VLOOKUP(A158,$A$28:$J$72,6,FALSE))</f>
        <v>8100</v>
      </c>
      <c r="G158" s="144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1</v>
      </c>
      <c r="J158" s="14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3" t="str">
        <f t="shared" si="14"/>
        <v>Техническое обслуживание системы видеонаблюдения.</v>
      </c>
      <c r="B159" s="143"/>
      <c r="C159" s="143"/>
      <c r="D159" s="143"/>
      <c r="E159" s="143"/>
      <c r="F159" s="144">
        <f t="shared" si="15"/>
        <v>5240</v>
      </c>
      <c r="G159" s="144"/>
      <c r="H159" s="24" t="str">
        <f t="shared" si="16"/>
        <v>ежемесячно</v>
      </c>
      <c r="I159" s="145">
        <f t="shared" si="17"/>
        <v>12</v>
      </c>
      <c r="J159" s="145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43" t="str">
        <f t="shared" si="14"/>
        <v>Механизированная уборка и вывоз снега с придомовой территории (январь).</v>
      </c>
      <c r="B160" s="143"/>
      <c r="C160" s="143"/>
      <c r="D160" s="143"/>
      <c r="E160" s="143"/>
      <c r="F160" s="144">
        <f t="shared" si="15"/>
        <v>8225</v>
      </c>
      <c r="G160" s="144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Механизированная уборка и вывоз снега с придомовой территории (январь).</v>
      </c>
    </row>
    <row r="161" spans="1:14" ht="28.5" customHeight="1">
      <c r="A161" s="143" t="str">
        <f>IF(N161&gt;0,N161,0)</f>
        <v>Установка шаровых кранов под приварку Ду 65, 80 в ИТП.</v>
      </c>
      <c r="B161" s="143"/>
      <c r="C161" s="143"/>
      <c r="D161" s="143"/>
      <c r="E161" s="143"/>
      <c r="F161" s="144">
        <f t="shared" si="15"/>
        <v>6073.7</v>
      </c>
      <c r="G161" s="144"/>
      <c r="H161" s="24" t="str">
        <f t="shared" si="16"/>
        <v>разово</v>
      </c>
      <c r="I161" s="145">
        <f t="shared" si="17"/>
        <v>1</v>
      </c>
      <c r="J161" s="145"/>
      <c r="M161" s="22" t="s">
        <v>72</v>
      </c>
      <c r="N161" s="1" t="str">
        <v>Установка шаровых кранов под приварку Ду 65, 80 в ИТП.</v>
      </c>
    </row>
    <row r="162" spans="1:14" ht="28.5" customHeight="1">
      <c r="A162" s="143" t="str">
        <f t="shared" si="14"/>
        <v xml:space="preserve">Механизированная уборка и вывоз снега с придомовой территории (март). </v>
      </c>
      <c r="B162" s="143"/>
      <c r="C162" s="143"/>
      <c r="D162" s="143"/>
      <c r="E162" s="143"/>
      <c r="F162" s="144">
        <f t="shared" si="15"/>
        <v>5515</v>
      </c>
      <c r="G162" s="144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72</v>
      </c>
      <c r="N162" s="1" t="str">
        <v xml:space="preserve">Механизированная уборка и вывоз снега с придомовой территории (март). </v>
      </c>
    </row>
    <row r="163" spans="1:14" ht="28.5" customHeight="1">
      <c r="A163" s="143" t="str">
        <f t="shared" si="14"/>
        <v>Приобретение и установка таблички по пожарной безопасности.</v>
      </c>
      <c r="B163" s="143"/>
      <c r="C163" s="143"/>
      <c r="D163" s="143"/>
      <c r="E163" s="143"/>
      <c r="F163" s="144">
        <f t="shared" si="15"/>
        <v>250</v>
      </c>
      <c r="G163" s="144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43" t="str">
        <f t="shared" ref="A164:A187" si="18">IF(N164&gt;0,N164,0)</f>
        <v>Ремонт пассажирского лифта (замена тяговых канатов).</v>
      </c>
      <c r="B164" s="143"/>
      <c r="C164" s="143"/>
      <c r="D164" s="143"/>
      <c r="E164" s="143"/>
      <c r="F164" s="144">
        <f t="shared" ref="F164:F187" si="19">IF(ISERROR(VLOOKUP(A164,$A$28:$J$72,6,FALSE)),0,VLOOKUP(A164,$A$28:$J$72,6,FALSE))</f>
        <v>13279.15</v>
      </c>
      <c r="G164" s="144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72</v>
      </c>
      <c r="N164" s="1" t="str">
        <v>Ремонт пассажирского лифта (замена тяговых канатов).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4">
        <f t="shared" si="19"/>
        <v>0</v>
      </c>
      <c r="G165" s="144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4">
        <f t="shared" si="19"/>
        <v>0</v>
      </c>
      <c r="G166" s="144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4">
        <f t="shared" si="19"/>
        <v>0</v>
      </c>
      <c r="G167" s="144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4">
        <f t="shared" si="19"/>
        <v>0</v>
      </c>
      <c r="G168" s="144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4">
        <f t="shared" si="19"/>
        <v>0</v>
      </c>
      <c r="G169" s="144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4">
        <f t="shared" si="19"/>
        <v>0</v>
      </c>
      <c r="G170" s="144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4">
        <f t="shared" si="19"/>
        <v>0</v>
      </c>
      <c r="G171" s="144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4">
        <f t="shared" si="19"/>
        <v>0</v>
      </c>
      <c r="G172" s="144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4">
        <f t="shared" si="19"/>
        <v>0</v>
      </c>
      <c r="G173" s="144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4">
        <f t="shared" si="19"/>
        <v>0</v>
      </c>
      <c r="G174" s="144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4">
        <f t="shared" si="19"/>
        <v>0</v>
      </c>
      <c r="G175" s="144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4">
        <f t="shared" si="19"/>
        <v>0</v>
      </c>
      <c r="G176" s="144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4">
        <f t="shared" si="19"/>
        <v>0</v>
      </c>
      <c r="G177" s="144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4">
        <f t="shared" si="19"/>
        <v>0</v>
      </c>
      <c r="G178" s="144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4">
        <f t="shared" si="19"/>
        <v>0</v>
      </c>
      <c r="G179" s="144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4">
        <f t="shared" si="19"/>
        <v>0</v>
      </c>
      <c r="G180" s="144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4">
        <f t="shared" si="19"/>
        <v>0</v>
      </c>
      <c r="G181" s="144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4">
        <f t="shared" si="19"/>
        <v>0</v>
      </c>
      <c r="G182" s="144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4">
        <f t="shared" si="19"/>
        <v>0</v>
      </c>
      <c r="G183" s="144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4">
        <f t="shared" si="19"/>
        <v>0</v>
      </c>
      <c r="G184" s="144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4">
        <f t="shared" si="19"/>
        <v>0</v>
      </c>
      <c r="G185" s="144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4">
        <f t="shared" si="19"/>
        <v>0</v>
      </c>
      <c r="G186" s="144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4">
        <f t="shared" si="19"/>
        <v>0</v>
      </c>
      <c r="G187" s="144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5" t="s">
        <v>176</v>
      </c>
    </row>
    <row r="189" spans="1:14" ht="29.25" customHeight="1">
      <c r="A189" s="105" t="s">
        <v>176</v>
      </c>
    </row>
    <row r="190" spans="1:14" ht="36.75" customHeight="1">
      <c r="A190" s="146" t="s">
        <v>190</v>
      </c>
      <c r="B190" s="146"/>
      <c r="C190" s="146"/>
      <c r="D190" s="146"/>
      <c r="E190" s="27">
        <f>SUM(F158:G187)</f>
        <v>46682.85</v>
      </c>
    </row>
    <row r="191" spans="1:14" ht="51.75" customHeight="1">
      <c r="A191" s="146" t="s">
        <v>191</v>
      </c>
      <c r="B191" s="146"/>
      <c r="C191" s="146"/>
      <c r="D191" s="146"/>
      <c r="E191" s="27">
        <f>E190+E154-E155</f>
        <v>-315064.66800000001</v>
      </c>
    </row>
    <row r="192" spans="1:14">
      <c r="A192" s="105" t="s">
        <v>176</v>
      </c>
    </row>
    <row r="193" spans="1:10" ht="62.25" customHeight="1">
      <c r="A193" s="171" t="s">
        <v>188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70" t="str">
        <f>ПТО!F12</f>
        <v xml:space="preserve">  -  поверка (замена) манометров и термометров</v>
      </c>
      <c r="B194" s="170"/>
      <c r="C194" s="170"/>
      <c r="D194" s="170"/>
      <c r="E194" s="170"/>
      <c r="F194" s="170"/>
      <c r="G194" s="170"/>
      <c r="H194" s="49">
        <f>ПТО!G12</f>
        <v>1200</v>
      </c>
      <c r="I194" s="50" t="s">
        <v>75</v>
      </c>
    </row>
    <row r="195" spans="1:10" ht="18.75" customHeight="1">
      <c r="A195" s="170" t="str">
        <f>ПТО!F13</f>
        <v xml:space="preserve">  -  техническое освидетельствование лифта</v>
      </c>
      <c r="B195" s="170"/>
      <c r="C195" s="170"/>
      <c r="D195" s="170"/>
      <c r="E195" s="170"/>
      <c r="F195" s="170"/>
      <c r="G195" s="170"/>
      <c r="H195" s="49">
        <f>ПТО!G13</f>
        <v>8100</v>
      </c>
      <c r="I195" s="50" t="s">
        <v>75</v>
      </c>
    </row>
    <row r="196" spans="1:10" ht="18.75" customHeight="1">
      <c r="A196" s="170" t="str">
        <f>ПТО!F14</f>
        <v xml:space="preserve">  -  техническое обслуживание системы видеонаблюдения</v>
      </c>
      <c r="B196" s="170"/>
      <c r="C196" s="170"/>
      <c r="D196" s="170"/>
      <c r="E196" s="170"/>
      <c r="F196" s="170"/>
      <c r="G196" s="170"/>
      <c r="H196" s="49">
        <f>ПТО!G14</f>
        <v>5240</v>
      </c>
      <c r="I196" s="50" t="s">
        <v>75</v>
      </c>
    </row>
    <row r="197" spans="1:10" ht="18.75" customHeight="1">
      <c r="A197" s="170" t="str">
        <f>ПТО!F15</f>
        <v xml:space="preserve">  -  ремонт подъезда</v>
      </c>
      <c r="B197" s="170"/>
      <c r="C197" s="170"/>
      <c r="D197" s="170"/>
      <c r="E197" s="170"/>
      <c r="F197" s="170"/>
      <c r="G197" s="170"/>
      <c r="H197" s="49">
        <f>ПТО!G15</f>
        <v>300000</v>
      </c>
      <c r="I197" s="50" t="s">
        <v>75</v>
      </c>
    </row>
    <row r="198" spans="1:10" ht="18.75" customHeight="1">
      <c r="A198" s="170" t="str">
        <f>ПТО!F16</f>
        <v xml:space="preserve">  -  замена задвижек на ИТП</v>
      </c>
      <c r="B198" s="170"/>
      <c r="C198" s="170"/>
      <c r="D198" s="170"/>
      <c r="E198" s="170"/>
      <c r="F198" s="170"/>
      <c r="G198" s="170"/>
      <c r="H198" s="49">
        <f>ПТО!G16</f>
        <v>15000</v>
      </c>
      <c r="I198" s="52" t="s">
        <v>75</v>
      </c>
    </row>
    <row r="199" spans="1:10" ht="18.75" hidden="1" customHeight="1">
      <c r="A199" s="170">
        <f>ПТО!F17</f>
        <v>0</v>
      </c>
      <c r="B199" s="170"/>
      <c r="C199" s="170"/>
      <c r="D199" s="170"/>
      <c r="E199" s="170"/>
      <c r="F199" s="170"/>
      <c r="G199" s="170"/>
      <c r="H199" s="49">
        <f>ПТО!G17</f>
        <v>0</v>
      </c>
      <c r="I199" s="50" t="s">
        <v>75</v>
      </c>
    </row>
    <row r="200" spans="1:10" hidden="1">
      <c r="A200" s="170">
        <f>ПТО!F18</f>
        <v>0</v>
      </c>
      <c r="B200" s="170"/>
      <c r="C200" s="170"/>
      <c r="D200" s="170"/>
      <c r="E200" s="170"/>
      <c r="F200" s="170"/>
      <c r="G200" s="170"/>
      <c r="H200" s="49">
        <f>ПТО!G18</f>
        <v>0</v>
      </c>
      <c r="I200" s="50" t="s">
        <v>75</v>
      </c>
    </row>
    <row r="201" spans="1:10" hidden="1">
      <c r="A201" s="170">
        <f>ПТО!F19</f>
        <v>0</v>
      </c>
      <c r="B201" s="170"/>
      <c r="C201" s="170"/>
      <c r="D201" s="170"/>
      <c r="E201" s="170"/>
      <c r="F201" s="170"/>
      <c r="G201" s="170"/>
      <c r="H201" s="49">
        <f>ПТО!G19</f>
        <v>0</v>
      </c>
      <c r="I201" s="50" t="s">
        <v>75</v>
      </c>
    </row>
    <row r="202" spans="1:10" hidden="1">
      <c r="A202" s="170">
        <f>ПТО!F20</f>
        <v>0</v>
      </c>
      <c r="B202" s="170"/>
      <c r="C202" s="170"/>
      <c r="D202" s="170"/>
      <c r="E202" s="170"/>
      <c r="F202" s="170"/>
      <c r="G202" s="170"/>
      <c r="H202" s="49">
        <f>ПТО!G20</f>
        <v>0</v>
      </c>
      <c r="I202" s="50" t="s">
        <v>75</v>
      </c>
    </row>
    <row r="203" spans="1:10" hidden="1">
      <c r="A203" s="170">
        <f>ПТО!F21</f>
        <v>0</v>
      </c>
      <c r="B203" s="170"/>
      <c r="C203" s="170"/>
      <c r="D203" s="170"/>
      <c r="E203" s="170"/>
      <c r="F203" s="170"/>
      <c r="G203" s="170"/>
      <c r="H203" s="49">
        <f>ПТО!G21</f>
        <v>0</v>
      </c>
      <c r="I203" s="50" t="s">
        <v>75</v>
      </c>
    </row>
    <row r="204" spans="1:10" hidden="1">
      <c r="A204" s="170">
        <f>ПТО!F22</f>
        <v>0</v>
      </c>
      <c r="B204" s="170"/>
      <c r="C204" s="170"/>
      <c r="D204" s="170"/>
      <c r="E204" s="170"/>
      <c r="F204" s="170"/>
      <c r="G204" s="170"/>
      <c r="H204" s="49">
        <f>ПТО!G22</f>
        <v>0</v>
      </c>
      <c r="I204" s="50" t="s">
        <v>75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49">
        <f>ПТО!G23</f>
        <v>0</v>
      </c>
      <c r="I205" s="50" t="s">
        <v>75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49">
        <f>ПТО!G24</f>
        <v>0</v>
      </c>
      <c r="I206" s="50" t="s">
        <v>75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49">
        <f>ПТО!G25</f>
        <v>0</v>
      </c>
      <c r="I207" s="50" t="s">
        <v>75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49">
        <f>ПТО!G26</f>
        <v>0</v>
      </c>
      <c r="I208" s="50" t="s">
        <v>75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49">
        <f>ПТО!G27</f>
        <v>0</v>
      </c>
      <c r="I209" s="50" t="s">
        <v>75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49">
        <f>ПТО!G28</f>
        <v>0</v>
      </c>
      <c r="I210" s="50" t="s">
        <v>75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49">
        <f>ПТО!G29</f>
        <v>0</v>
      </c>
      <c r="I211" s="50" t="s">
        <v>75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49">
        <f>ПТО!G30</f>
        <v>0</v>
      </c>
      <c r="I212" s="50" t="s">
        <v>75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329540</v>
      </c>
      <c r="I214" s="56" t="s">
        <v>79</v>
      </c>
    </row>
  </sheetData>
  <sheetProtection algorithmName="SHA-512" hashValue="ewfoQ3IiRrgb0FsLFK+G0uDiB8cLt3ZNCVcJbfKgVPq29P13NxqLCaCeOCDJw98gPWEm8StnEFq1d8mRfmENAQ==" saltValue="XOn6C8Hm+AU0q/2mhluBI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2" sqref="D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187</v>
      </c>
      <c r="G1" s="102">
        <f>-174151.59</f>
        <v>-174151.59</v>
      </c>
    </row>
    <row r="2" spans="1:12" ht="18.75" customHeight="1">
      <c r="A2" s="132" t="s">
        <v>73</v>
      </c>
      <c r="B2" s="133" t="s">
        <v>181</v>
      </c>
      <c r="C2" s="133">
        <v>1</v>
      </c>
      <c r="D2" s="134">
        <v>8100</v>
      </c>
      <c r="E2" s="135"/>
      <c r="F2" s="32"/>
      <c r="G2" s="32"/>
      <c r="L2" s="33" t="str">
        <f t="shared" ref="L2:L22" si="0">IF(A2&gt;0,"ТР",0)</f>
        <v>ТР</v>
      </c>
    </row>
    <row r="3" spans="1:12" ht="18.75" customHeight="1">
      <c r="A3" s="136" t="s">
        <v>180</v>
      </c>
      <c r="B3" s="137" t="s">
        <v>182</v>
      </c>
      <c r="C3" s="138">
        <v>12</v>
      </c>
      <c r="D3" s="139">
        <v>5240</v>
      </c>
      <c r="E3" s="135"/>
      <c r="F3" s="30"/>
      <c r="G3" s="30"/>
      <c r="L3" s="33" t="str">
        <f t="shared" si="0"/>
        <v>ТР</v>
      </c>
    </row>
    <row r="4" spans="1:12" ht="18.75" customHeight="1">
      <c r="A4" s="45" t="s">
        <v>194</v>
      </c>
      <c r="B4" s="131" t="s">
        <v>183</v>
      </c>
      <c r="C4" s="43">
        <v>1</v>
      </c>
      <c r="D4" s="47">
        <v>8225</v>
      </c>
      <c r="E4" s="45" t="s">
        <v>193</v>
      </c>
      <c r="F4" s="30"/>
      <c r="G4" s="30"/>
      <c r="L4" s="33" t="str">
        <f t="shared" si="0"/>
        <v>ТР</v>
      </c>
    </row>
    <row r="5" spans="1:12" ht="18.75" customHeight="1">
      <c r="A5" s="125" t="s">
        <v>185</v>
      </c>
      <c r="B5" s="126" t="s">
        <v>183</v>
      </c>
      <c r="C5" s="127">
        <v>1</v>
      </c>
      <c r="D5" s="47">
        <v>6073.7</v>
      </c>
      <c r="E5" s="123" t="s">
        <v>200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195</v>
      </c>
      <c r="B6" s="124" t="s">
        <v>183</v>
      </c>
      <c r="C6" s="43">
        <v>1</v>
      </c>
      <c r="D6" s="47">
        <v>5515</v>
      </c>
      <c r="E6" s="45" t="s">
        <v>199</v>
      </c>
      <c r="F6" s="45"/>
      <c r="G6" s="45"/>
      <c r="K6" s="47"/>
      <c r="L6" s="33" t="str">
        <f t="shared" si="0"/>
        <v>ТР</v>
      </c>
    </row>
    <row r="7" spans="1:12" ht="18.75" customHeight="1">
      <c r="A7" s="119" t="s">
        <v>196</v>
      </c>
      <c r="B7" s="120" t="s">
        <v>183</v>
      </c>
      <c r="C7" s="121">
        <v>1</v>
      </c>
      <c r="D7" s="122">
        <v>250</v>
      </c>
      <c r="E7" s="123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28" t="s">
        <v>197</v>
      </c>
      <c r="B8" s="129" t="s">
        <v>183</v>
      </c>
      <c r="C8" s="43">
        <v>1</v>
      </c>
      <c r="D8" s="44">
        <v>13279.15</v>
      </c>
      <c r="E8" s="130" t="s">
        <v>201</v>
      </c>
      <c r="F8" s="46"/>
      <c r="G8" s="46"/>
      <c r="K8" s="44"/>
      <c r="L8" s="33" t="str">
        <f t="shared" si="0"/>
        <v>ТР</v>
      </c>
    </row>
    <row r="9" spans="1:12">
      <c r="A9" s="140"/>
      <c r="B9" s="141"/>
      <c r="C9" s="43"/>
      <c r="D9" s="47"/>
      <c r="E9" s="142"/>
      <c r="F9" s="45"/>
      <c r="G9" s="45"/>
      <c r="K9" s="44"/>
      <c r="L9" s="33">
        <f t="shared" si="0"/>
        <v>0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188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31.5">
      <c r="A14" s="30"/>
      <c r="F14" s="113" t="s">
        <v>77</v>
      </c>
      <c r="G14" s="115">
        <v>5240</v>
      </c>
      <c r="L14" s="33">
        <f t="shared" si="0"/>
        <v>0</v>
      </c>
    </row>
    <row r="15" spans="1:12" ht="15.75">
      <c r="A15" s="30"/>
      <c r="F15" s="113" t="s">
        <v>186</v>
      </c>
      <c r="G15" s="114">
        <v>300000</v>
      </c>
      <c r="L15" s="33">
        <f t="shared" si="0"/>
        <v>0</v>
      </c>
    </row>
    <row r="16" spans="1:12" ht="15.75">
      <c r="A16" s="30"/>
      <c r="F16" s="113" t="s">
        <v>202</v>
      </c>
      <c r="G16" s="114">
        <v>15000</v>
      </c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235880.16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235880.16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67677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45513.84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45513.84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47492.639999999999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47492.639999999999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13456.2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13456.2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46701.120000000003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46701.120000000003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157913.04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157913.04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CpAww1NQT+ZND3h7HHCI5MoziD1oF8FD0bU7M4YvgHzeAytEs1KuVq5aBeCE18w3UqNOejxgxn8M56lb1ngq9A==" saltValue="Yz88+cS42Y0sBBvvkr12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91" sqref="D9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3298.1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216517.58800000011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793307.50800000015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605711.58000000007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187595.92800000001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959555.37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959555.37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959555.37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50269.726000000257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4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4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4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4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3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3"/>
      <c r="N26" s="63"/>
    </row>
    <row r="27" spans="1:15" ht="18.75" customHeight="1">
      <c r="A27" s="70" t="s">
        <v>107</v>
      </c>
      <c r="B27" s="75" t="s">
        <v>4</v>
      </c>
      <c r="C27" s="86">
        <v>96465.96</v>
      </c>
      <c r="D27" s="81" t="s">
        <v>60</v>
      </c>
      <c r="E27" s="64"/>
      <c r="F27" s="64"/>
      <c r="G27" s="64"/>
      <c r="H27" s="64"/>
      <c r="I27" s="64"/>
      <c r="J27" s="64"/>
      <c r="M27" s="173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3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3"/>
      <c r="N29" s="63"/>
    </row>
    <row r="30" spans="1:15" ht="18.75" customHeight="1">
      <c r="A30" s="70" t="s">
        <v>110</v>
      </c>
      <c r="B30" s="75" t="s">
        <v>18</v>
      </c>
      <c r="C30" s="86">
        <v>22566.35</v>
      </c>
      <c r="D30" s="81" t="s">
        <v>66</v>
      </c>
      <c r="E30" s="64"/>
      <c r="F30" s="64"/>
      <c r="G30" s="64"/>
      <c r="H30" s="64"/>
      <c r="I30" s="64"/>
      <c r="J30" s="64"/>
      <c r="M30" s="173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3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3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3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3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170373.92</v>
      </c>
      <c r="F37" s="94" t="s">
        <v>169</v>
      </c>
      <c r="G37" s="66"/>
      <c r="H37" s="66"/>
      <c r="I37" s="66"/>
      <c r="L37" s="63"/>
      <c r="M37" s="172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149450.80701754388</v>
      </c>
      <c r="D38" s="94" t="s">
        <v>167</v>
      </c>
      <c r="E38" s="68"/>
      <c r="G38" s="67"/>
      <c r="H38" s="67"/>
      <c r="L38" s="63"/>
      <c r="M38" s="172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256009.86</v>
      </c>
      <c r="D39" s="94" t="s">
        <v>168</v>
      </c>
      <c r="E39" s="68"/>
      <c r="G39" s="67"/>
      <c r="H39" s="67"/>
      <c r="L39" s="63"/>
      <c r="M39" s="172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2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170373.92</v>
      </c>
      <c r="D41" s="80" t="s">
        <v>59</v>
      </c>
      <c r="E41" s="68"/>
      <c r="G41" s="67"/>
      <c r="H41" s="67"/>
      <c r="L41" s="63"/>
      <c r="M41" s="172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170373.92</v>
      </c>
      <c r="D42" s="80" t="s">
        <v>59</v>
      </c>
      <c r="E42" s="68"/>
      <c r="G42" s="67"/>
      <c r="H42" s="67"/>
      <c r="L42" s="63"/>
      <c r="M42" s="172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2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2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65394.729999999989</v>
      </c>
      <c r="F45" s="94" t="s">
        <v>169</v>
      </c>
      <c r="G45" s="66"/>
      <c r="H45" s="66"/>
      <c r="L45" s="63"/>
      <c r="M45" s="172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4833.3133776792311</v>
      </c>
      <c r="D46" s="94" t="s">
        <v>170</v>
      </c>
      <c r="E46" s="68"/>
      <c r="G46" s="67"/>
      <c r="H46" s="67"/>
      <c r="L46" s="63"/>
      <c r="M46" s="172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65402.349999999984</v>
      </c>
      <c r="D47" s="94" t="s">
        <v>168</v>
      </c>
      <c r="E47" s="68"/>
      <c r="G47" s="67"/>
      <c r="H47" s="67"/>
      <c r="L47" s="63"/>
      <c r="M47" s="172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2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65394.729999999989</v>
      </c>
      <c r="D49" s="80" t="s">
        <v>59</v>
      </c>
      <c r="E49" s="68"/>
      <c r="G49" s="67"/>
      <c r="H49" s="67"/>
      <c r="L49" s="63"/>
      <c r="M49" s="172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65394.729999999989</v>
      </c>
      <c r="D50" s="80" t="s">
        <v>59</v>
      </c>
      <c r="E50" s="68"/>
      <c r="G50" s="67"/>
      <c r="H50" s="67"/>
      <c r="L50" s="63"/>
      <c r="M50" s="172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2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2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124224.03</v>
      </c>
      <c r="F53" s="94" t="s">
        <v>169</v>
      </c>
      <c r="G53" s="66"/>
      <c r="H53" s="66"/>
      <c r="L53" s="63"/>
      <c r="M53" s="172"/>
      <c r="N53" s="63"/>
      <c r="O53" s="63"/>
    </row>
    <row r="54" spans="1:15" ht="18.75" customHeight="1">
      <c r="A54" s="73" t="s">
        <v>132</v>
      </c>
      <c r="B54" s="75" t="s">
        <v>37</v>
      </c>
      <c r="C54" s="99">
        <v>8050.8120544394042</v>
      </c>
      <c r="D54" s="94" t="s">
        <v>170</v>
      </c>
      <c r="E54" s="69"/>
      <c r="F54" s="89"/>
      <c r="G54" s="64"/>
      <c r="H54" s="64"/>
      <c r="L54" s="63"/>
      <c r="M54" s="172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121115.03</v>
      </c>
      <c r="D55" s="94" t="s">
        <v>168</v>
      </c>
      <c r="E55" s="69"/>
      <c r="G55" s="64"/>
      <c r="H55" s="64"/>
      <c r="L55" s="63"/>
      <c r="M55" s="172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3109</v>
      </c>
      <c r="D56" s="80" t="s">
        <v>59</v>
      </c>
      <c r="E56" s="69"/>
      <c r="G56" s="64"/>
      <c r="H56" s="64"/>
      <c r="L56" s="63"/>
      <c r="M56" s="172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124224.03</v>
      </c>
      <c r="D57" s="80" t="s">
        <v>59</v>
      </c>
      <c r="E57" s="69"/>
      <c r="G57" s="64"/>
      <c r="H57" s="64"/>
      <c r="L57" s="63"/>
      <c r="M57" s="172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124224.03</v>
      </c>
      <c r="D58" s="80" t="s">
        <v>59</v>
      </c>
      <c r="E58" s="69"/>
      <c r="G58" s="64"/>
      <c r="H58" s="64"/>
      <c r="L58" s="63"/>
      <c r="M58" s="172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2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2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126889.65000000002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9">
        <v>223.82679790442933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118254.70000000001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8634.9500000000116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126889.65000000002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126889.65000000002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9">
        <v>0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0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9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2021-03-29T03:26:45Z</dcterms:modified>
</cp:coreProperties>
</file>