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D118" i="1" l="1"/>
  <c r="A120" i="1"/>
  <c r="A124" i="1"/>
  <c r="F118" i="1"/>
  <c r="A121" i="1"/>
  <c r="A125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4" i="1"/>
  <c r="A174" i="1" s="1"/>
  <c r="I174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72" i="1"/>
  <c r="A172" i="1" s="1"/>
  <c r="I172" i="1" s="1"/>
  <c r="N178" i="1"/>
  <c r="A178" i="1" s="1"/>
  <c r="I178" i="1" s="1"/>
  <c r="N186" i="1"/>
  <c r="A186" i="1" s="1"/>
  <c r="I186" i="1" s="1"/>
  <c r="N180" i="1"/>
  <c r="A180" i="1" s="1"/>
  <c r="I180" i="1" s="1"/>
  <c r="N184" i="1"/>
  <c r="A184" i="1" s="1"/>
  <c r="I184" i="1" s="1"/>
  <c r="N187" i="1"/>
  <c r="A187" i="1" s="1"/>
  <c r="I187" i="1" s="1"/>
  <c r="N177" i="1"/>
  <c r="A177" i="1" s="1"/>
  <c r="I177" i="1" s="1"/>
  <c r="N166" i="1"/>
  <c r="A166" i="1" s="1"/>
  <c r="I166" i="1" s="1"/>
  <c r="N169" i="1"/>
  <c r="A169" i="1" s="1"/>
  <c r="I169" i="1" s="1"/>
  <c r="N160" i="1"/>
  <c r="A160" i="1" s="1"/>
  <c r="N175" i="1"/>
  <c r="A175" i="1" s="1"/>
  <c r="I175" i="1" s="1"/>
  <c r="N179" i="1"/>
  <c r="A179" i="1" s="1"/>
  <c r="I17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3" i="1" l="1"/>
  <c r="H183" i="1"/>
  <c r="H181" i="1"/>
  <c r="F166" i="1"/>
  <c r="H164" i="1"/>
  <c r="F164" i="1"/>
  <c r="H187" i="1"/>
  <c r="H185" i="1"/>
  <c r="H178" i="1"/>
  <c r="H169" i="1"/>
  <c r="H177" i="1"/>
  <c r="F175" i="1"/>
  <c r="F185" i="1"/>
  <c r="H171" i="1"/>
  <c r="H172" i="1"/>
  <c r="F182" i="1"/>
  <c r="F172" i="1"/>
  <c r="F184" i="1"/>
  <c r="H182" i="1"/>
  <c r="F169" i="1"/>
  <c r="F181" i="1"/>
  <c r="H184" i="1"/>
  <c r="H165" i="1"/>
  <c r="H170" i="1"/>
  <c r="H176" i="1"/>
  <c r="F187" i="1"/>
  <c r="F178" i="1"/>
  <c r="F170" i="1"/>
  <c r="F171" i="1"/>
  <c r="H186" i="1"/>
  <c r="F177" i="1"/>
  <c r="H180" i="1"/>
  <c r="F174" i="1"/>
  <c r="H175" i="1"/>
  <c r="H173" i="1"/>
  <c r="H179" i="1"/>
  <c r="F173" i="1"/>
  <c r="H174" i="1"/>
  <c r="F167" i="1"/>
  <c r="F165" i="1"/>
  <c r="H167" i="1"/>
  <c r="F179" i="1"/>
  <c r="H168" i="1"/>
  <c r="F168" i="1"/>
  <c r="F180" i="1"/>
  <c r="H166" i="1"/>
  <c r="F186" i="1"/>
  <c r="F17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<sst xmlns="http://schemas.openxmlformats.org/spreadsheetml/2006/main" count="559" uniqueCount="207">
  <si>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</si>
  <si>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</si>
  <si>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</si>
  <si>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</si>
  <si>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</si>
  <si>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</si>
  <si>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</si>
  <si>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</si>
  <si>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</si>
  <si>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</si>
  <si>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</si>
  <si>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</si>
  <si>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</si>
  <si>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</si>
  <si>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</si>
  <si>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</si>
  <si>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</si>
  <si>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</si>
  <si>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</si>
  <si>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</si>
  <si>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</si>
  <si>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</si>
  <si>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</si>
  <si>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</si>
  <si>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</si>
  <si>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</si>
  <si>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</si>
  <si>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</si>
  <si>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</si>
  <si>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</si>
  <si>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</si>
  <si>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</si>
  <si>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</si>
  <si>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</si>
  <si>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</si>
  <si>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</si>
  <si>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</si>
  <si>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</si>
  <si>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</si>
  <si>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</si>
  <si>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</si>
  <si>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</si>
  <si>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</si>
  <si>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</si>
  <si>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</si>
  <si>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</si>
  <si>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</si>
  <si>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</si>
  <si>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</si>
  <si>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</si>
  <si>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</si>
  <si>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</si>
  <si>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</si>
  <si>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</si>
  <si>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</si>
  <si>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</si>
  <si>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</si>
  <si>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</si>
  <si>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</si>
  <si>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</si>
  <si>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</si>
  <si>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</si>
  <si>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</si>
  <si>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</si>
  <si>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</si>
  <si>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</si>
  <si>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</si>
  <si>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</si>
  <si>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</si>
  <si>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</si>
  <si>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</si>
  <si>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</si>
  <si>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</si>
  <si>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</si>
  <si>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</si>
  <si>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</si>
  <si>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</si>
  <si>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</si>
  <si>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</si>
  <si>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</si>
  <si>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</si>
  <si>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</si>
  <si>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</si>
  <si>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</si>
  <si>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</si>
  <si>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</si>
  <si>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</si>
  <si>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</si>
  <si>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</si>
  <si>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</si>
  <si>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</si>
  <si>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</si>
  <si>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</si>
  <si>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</si>
  <si>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</si>
  <si>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</si>
  <si>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</si>
  <si>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</si>
  <si>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</si>
  <si>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</si>
  <si>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</si>
  <si>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</si>
  <si>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</si>
  <si>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</si>
  <si>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</si>
  <si>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</si>
  <si>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</si>
  <si>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</si>
  <si>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</si>
  <si>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</si>
  <si>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</si>
  <si>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</si>
  <si>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</si>
  <si>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</si>
  <si>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</si>
  <si>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</si>
  <si>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</si>
  <si>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</si>
  <si>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</si>
  <si>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</si>
  <si>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</si>
  <si>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</si>
  <si>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</si>
  <si>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</si>
  <si>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</si>
  <si>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</si>
  <si>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</si>
  <si>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</si>
  <si>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</si>
  <si>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</si>
  <si>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</si>
  <si>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</si>
  <si>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</si>
  <si>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</si>
  <si>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</si>
  <si>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</si>
  <si>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</si>
  <si>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</si>
  <si>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</si>
  <si>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</si>
  <si>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</si>
  <si>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</si>
  <si>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</si>
  <si>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</si>
  <si>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</si>
  <si>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</si>
  <si>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</si>
  <si>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</si>
  <si>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</si>
  <si>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</si>
  <si>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</si>
  <si>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</si>
  <si>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</si>
  <si>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</si>
  <si>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</si>
  <si>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</si>
  <si>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</si>
  <si>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</si>
  <si>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</si>
  <si>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</si>
  <si>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</si>
  <si>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</si>
  <si>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</si>
  <si>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</si>
  <si>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</si>
  <si>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</si>
  <si>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</si>
  <si>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</si>
  <si>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</si>
  <si>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</si>
  <si>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</si>
  <si>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</si>
  <si>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</si>
  <si>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</si>
  <si>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</si>
  <si>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</si>
  <si>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</si>
  <si>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</si>
  <si>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</si>
  <si>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</si>
  <si>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</si>
  <si>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</si>
  <si>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</si>
  <si>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</si>
  <si>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Румянцева, 5/3</t>
  </si>
  <si>
    <t>Работы (услуги) по управлению многоквартирным домом</t>
  </si>
  <si>
    <t>Отчет об исполнении договора управления многоквартирного дома 
Румянцева, 5/3 в части текущего ремонта</t>
  </si>
  <si>
    <t>Замена АКБ для лифта.</t>
  </si>
  <si>
    <t>Замена привода кабины лифта.</t>
  </si>
  <si>
    <t>Приобретение бесперебойного блока питания системы видеонаблюдения.</t>
  </si>
  <si>
    <t>Замена счетчика электрической энергии.</t>
  </si>
  <si>
    <t>АВР от 29.03.2019</t>
  </si>
  <si>
    <t>АВР от 02.07.2019, Решение, счет №7822 от 05.06.2019</t>
  </si>
  <si>
    <t>счет №621 от 04.07.2019</t>
  </si>
  <si>
    <t>ежегодно</t>
  </si>
  <si>
    <t>разово</t>
  </si>
  <si>
    <t>площадь дома</t>
  </si>
  <si>
    <t>Приобретение 2-х цилиндрических видеокамер.</t>
  </si>
  <si>
    <t>АВР от 10.11.2019, счет №159 от 14.10.2019</t>
  </si>
  <si>
    <t>АВР от 28.10.2019, Решение, счет №16388 от 18.10.2019</t>
  </si>
  <si>
    <t>АВР от 10.11.2019, Счет №193 от 18.12.2018</t>
  </si>
  <si>
    <t>АВР от 06.12.2019, Решение, счет №2409 от 19.11.2019</t>
  </si>
  <si>
    <t xml:space="preserve">  -  ремонт резервного частотного преобразователя</t>
  </si>
  <si>
    <t xml:space="preserve">  -  благоустройство придомовой территории</t>
  </si>
  <si>
    <t>Замена электронного блока управления вызовами лифта.</t>
  </si>
  <si>
    <t>Приобретение и монтаж противоскользящего коврика.</t>
  </si>
  <si>
    <t xml:space="preserve">  -  приобретение частотного преобразователя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</si>
</sst>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0" fillId="0" borderId="0"/>
    <xf numFmtId="0" fontId="9" fillId="0" borderId="0"/>
    <xf numFmtId="0" fontId="22" fillId="0" borderId="0"/>
    <xf numFmtId="0" fontId="8" fillId="0" borderId="0"/>
    <xf numFmtId="0" fontId="7" fillId="0" borderId="0"/>
    <xf numFmtId="0" fontId="5" fillId="0" borderId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14" fontId="11" fillId="0" borderId="0" xfId="0" applyNumberFormat="1" applyFont="1"/>
    <xf numFmtId="0" fontId="12" fillId="2" borderId="0" xfId="0" applyFont="1" applyFill="1" applyAlignment="1">
      <alignment horizontal="right" wrapText="1" inden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4" fontId="13" fillId="2" borderId="1" xfId="1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1" xfId="1" applyFont="1" applyBorder="1" applyAlignment="1">
      <alignment vertical="center"/>
    </xf>
    <xf numFmtId="0" fontId="13" fillId="2" borderId="1" xfId="1" applyNumberFormat="1" applyFont="1" applyFill="1" applyBorder="1" applyAlignment="1">
      <alignment horizontal="center" wrapText="1"/>
    </xf>
    <xf numFmtId="0" fontId="18" fillId="0" borderId="0" xfId="0" applyFont="1"/>
    <xf numFmtId="4" fontId="11" fillId="0" borderId="0" xfId="0" applyNumberFormat="1" applyFont="1"/>
    <xf numFmtId="4" fontId="13" fillId="2" borderId="1" xfId="0" applyNumberFormat="1" applyFont="1" applyFill="1" applyBorder="1" applyAlignment="1" applyProtection="1">
      <alignment horizont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20" fillId="0" borderId="0" xfId="0" applyFont="1" applyAlignment="1">
      <alignment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wrapText="1"/>
    </xf>
    <xf numFmtId="4" fontId="11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9" fillId="0" borderId="0" xfId="2" applyFill="1" applyBorder="1" applyAlignment="1"/>
    <xf numFmtId="0" fontId="0" fillId="0" borderId="0" xfId="0" applyBorder="1"/>
    <xf numFmtId="0" fontId="21" fillId="0" borderId="0" xfId="2" applyFont="1" applyFill="1" applyBorder="1" applyAlignment="1"/>
    <xf numFmtId="4" fontId="21" fillId="0" borderId="0" xfId="2" applyNumberFormat="1" applyFont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 vertical="center" wrapText="1"/>
    </xf>
    <xf numFmtId="4" fontId="23" fillId="3" borderId="0" xfId="1" applyNumberFormat="1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" fontId="21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3" fillId="3" borderId="1" xfId="1" applyNumberFormat="1" applyFont="1" applyFill="1" applyBorder="1" applyAlignment="1">
      <alignment horizontal="center" vertical="center" wrapText="1"/>
    </xf>
    <xf numFmtId="0" fontId="8" fillId="0" borderId="0" xfId="4" applyFill="1" applyBorder="1" applyAlignment="1">
      <alignment horizontal="center"/>
    </xf>
    <xf numFmtId="4" fontId="8" fillId="0" borderId="0" xfId="4" applyNumberFormat="1" applyFill="1" applyBorder="1" applyAlignment="1"/>
    <xf numFmtId="0" fontId="21" fillId="0" borderId="0" xfId="4" applyFont="1" applyFill="1" applyBorder="1" applyAlignment="1"/>
    <xf numFmtId="0" fontId="8" fillId="0" borderId="0" xfId="4" applyFill="1" applyBorder="1" applyAlignment="1"/>
    <xf numFmtId="4" fontId="21" fillId="0" borderId="0" xfId="4" applyNumberFormat="1" applyFont="1" applyFill="1" applyBorder="1" applyAlignment="1"/>
    <xf numFmtId="0" fontId="18" fillId="0" borderId="0" xfId="0" applyFont="1" applyAlignment="1">
      <alignment horizontal="left" vertical="center" textRotation="90"/>
    </xf>
    <xf numFmtId="0" fontId="25" fillId="0" borderId="0" xfId="0" applyFont="1" applyFill="1" applyBorder="1" applyAlignment="1">
      <alignment horizontal="left" vertical="center"/>
    </xf>
    <xf numFmtId="4" fontId="19" fillId="0" borderId="0" xfId="0" applyNumberFormat="1" applyFont="1"/>
    <xf numFmtId="0" fontId="19" fillId="0" borderId="0" xfId="0" applyFont="1"/>
    <xf numFmtId="4" fontId="19" fillId="0" borderId="0" xfId="0" applyNumberFormat="1" applyFont="1" applyFill="1"/>
    <xf numFmtId="0" fontId="11" fillId="0" borderId="0" xfId="0" applyFont="1" applyFill="1"/>
    <xf numFmtId="0" fontId="17" fillId="0" borderId="0" xfId="0" applyFont="1" applyFill="1" applyBorder="1" applyAlignment="1">
      <alignment horizontal="left"/>
    </xf>
    <xf numFmtId="0" fontId="19" fillId="0" borderId="0" xfId="0" applyFont="1" applyFill="1"/>
    <xf numFmtId="4" fontId="27" fillId="0" borderId="0" xfId="0" applyNumberFormat="1" applyFont="1"/>
    <xf numFmtId="0" fontId="27" fillId="0" borderId="0" xfId="0" applyFont="1"/>
    <xf numFmtId="0" fontId="16" fillId="0" borderId="0" xfId="0" applyFont="1" applyBorder="1"/>
    <xf numFmtId="0" fontId="11" fillId="0" borderId="0" xfId="0" applyFont="1" applyBorder="1"/>
    <xf numFmtId="0" fontId="13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1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3" fillId="0" borderId="0" xfId="1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6" fillId="0" borderId="0" xfId="0" applyFont="1" applyBorder="1" applyProtection="1"/>
    <xf numFmtId="0" fontId="13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7" fillId="0" borderId="0" xfId="0" applyFont="1" applyBorder="1" applyProtection="1"/>
    <xf numFmtId="0" fontId="13" fillId="0" borderId="0" xfId="1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vertical="center" wrapText="1"/>
    </xf>
    <xf numFmtId="4" fontId="13" fillId="4" borderId="0" xfId="0" applyNumberFormat="1" applyFont="1" applyFill="1" applyBorder="1" applyAlignment="1" applyProtection="1">
      <alignment horizontal="center" wrapText="1"/>
    </xf>
    <xf numFmtId="0" fontId="14" fillId="0" borderId="0" xfId="0" applyFont="1" applyBorder="1" applyProtection="1"/>
    <xf numFmtId="0" fontId="26" fillId="0" borderId="0" xfId="0" applyFont="1" applyBorder="1" applyProtection="1"/>
    <xf numFmtId="4" fontId="13" fillId="4" borderId="0" xfId="1" applyNumberFormat="1" applyFont="1" applyFill="1" applyBorder="1" applyAlignment="1" applyProtection="1">
      <alignment horizontal="center" wrapText="1"/>
    </xf>
    <xf numFmtId="4" fontId="13" fillId="5" borderId="0" xfId="0" applyNumberFormat="1" applyFont="1" applyFill="1" applyBorder="1" applyAlignment="1" applyProtection="1">
      <alignment horizontal="center" wrapText="1"/>
      <protection locked="0"/>
    </xf>
    <xf numFmtId="0" fontId="14" fillId="5" borderId="0" xfId="0" applyFont="1" applyFill="1" applyBorder="1" applyAlignment="1" applyProtection="1">
      <alignment horizontal="center"/>
      <protection locked="0"/>
    </xf>
    <xf numFmtId="2" fontId="14" fillId="5" borderId="0" xfId="0" applyNumberFormat="1" applyFont="1" applyFill="1" applyBorder="1" applyAlignment="1" applyProtection="1">
      <alignment horizontal="center"/>
      <protection locked="0"/>
    </xf>
    <xf numFmtId="4" fontId="13" fillId="5" borderId="0" xfId="1" applyNumberFormat="1" applyFont="1" applyFill="1" applyBorder="1" applyAlignment="1" applyProtection="1">
      <alignment horizontal="center" wrapText="1"/>
      <protection locked="0"/>
    </xf>
    <xf numFmtId="0" fontId="13" fillId="5" borderId="0" xfId="1" applyFont="1" applyFill="1" applyBorder="1" applyAlignment="1" applyProtection="1">
      <alignment horizontal="center" wrapText="1"/>
      <protection locked="0"/>
    </xf>
    <xf numFmtId="2" fontId="13" fillId="5" borderId="0" xfId="1" applyNumberFormat="1" applyFont="1" applyFill="1" applyBorder="1" applyAlignment="1" applyProtection="1">
      <alignment horizont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4" fontId="13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</xf>
    <xf numFmtId="4" fontId="13" fillId="4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4" fontId="14" fillId="0" borderId="1" xfId="0" applyNumberFormat="1" applyFont="1" applyBorder="1" applyAlignment="1">
      <alignment horizontal="center"/>
    </xf>
    <xf numFmtId="4" fontId="13" fillId="5" borderId="0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wrapText="1"/>
    </xf>
    <xf numFmtId="0" fontId="11" fillId="5" borderId="0" xfId="0" applyFont="1" applyFill="1" applyAlignment="1">
      <alignment wrapText="1"/>
    </xf>
    <xf numFmtId="4" fontId="11" fillId="0" borderId="5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9" fillId="0" borderId="0" xfId="0" applyFont="1"/>
    <xf numFmtId="0" fontId="13" fillId="5" borderId="1" xfId="1" applyNumberFormat="1" applyFont="1" applyFill="1" applyBorder="1" applyAlignment="1" applyProtection="1">
      <alignment horizontal="center" wrapText="1"/>
      <protection locked="0"/>
    </xf>
    <xf numFmtId="4" fontId="13" fillId="5" borderId="1" xfId="1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Border="1"/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4" fillId="0" borderId="0" xfId="0" applyFont="1" applyAlignment="1">
      <alignment wrapText="1"/>
    </xf>
    <xf numFmtId="0" fontId="14" fillId="0" borderId="0" xfId="0" applyFont="1" applyFill="1" applyBorder="1" applyAlignment="1">
      <alignment wrapText="1"/>
    </xf>
    <xf numFmtId="4" fontId="13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11" fillId="0" borderId="0" xfId="0" applyFont="1" applyAlignment="1" applyProtection="1">
      <alignment vertical="center"/>
      <protection locked="0"/>
    </xf>
    <xf numFmtId="14" fontId="11" fillId="0" borderId="0" xfId="0" applyNumberFormat="1" applyFont="1" applyProtection="1">
      <protection locked="0"/>
    </xf>
    <xf numFmtId="0" fontId="21" fillId="0" borderId="0" xfId="5" applyFont="1" applyBorder="1" applyAlignment="1"/>
    <xf numFmtId="0" fontId="7" fillId="0" borderId="0" xfId="5" applyFill="1" applyBorder="1"/>
    <xf numFmtId="0" fontId="7" fillId="0" borderId="0" xfId="5" applyFill="1" applyBorder="1" applyAlignment="1">
      <alignment horizontal="center"/>
    </xf>
    <xf numFmtId="1" fontId="7" fillId="6" borderId="0" xfId="5" applyNumberFormat="1" applyFill="1" applyBorder="1" applyAlignment="1">
      <alignment horizontal="center"/>
    </xf>
    <xf numFmtId="0" fontId="7" fillId="6" borderId="0" xfId="5" applyFill="1" applyBorder="1" applyAlignment="1">
      <alignment wrapText="1"/>
    </xf>
    <xf numFmtId="0" fontId="21" fillId="0" borderId="0" xfId="5" applyFont="1" applyFill="1" applyBorder="1" applyAlignment="1"/>
    <xf numFmtId="0" fontId="21" fillId="0" borderId="0" xfId="5" applyFont="1" applyFill="1" applyBorder="1" applyAlignment="1">
      <alignment wrapText="1"/>
    </xf>
    <xf numFmtId="4" fontId="7" fillId="0" borderId="0" xfId="5" applyNumberFormat="1" applyBorder="1" applyAlignment="1"/>
    <xf numFmtId="0" fontId="7" fillId="6" borderId="0" xfId="5" applyFill="1" applyBorder="1" applyAlignment="1">
      <alignment horizontal="center"/>
    </xf>
    <xf numFmtId="4" fontId="21" fillId="6" borderId="0" xfId="5" applyNumberFormat="1" applyFont="1" applyFill="1" applyBorder="1" applyAlignment="1"/>
    <xf numFmtId="0" fontId="7" fillId="6" borderId="0" xfId="5" applyFill="1" applyBorder="1"/>
    <xf numFmtId="0" fontId="21" fillId="0" borderId="0" xfId="5" applyFont="1" applyFill="1" applyBorder="1" applyAlignment="1">
      <alignment horizontal="center"/>
    </xf>
    <xf numFmtId="4" fontId="21" fillId="0" borderId="0" xfId="5" applyNumberFormat="1" applyFont="1" applyFill="1" applyBorder="1" applyAlignment="1"/>
    <xf numFmtId="0" fontId="6" fillId="0" borderId="0" xfId="4" applyFont="1" applyFill="1" applyBorder="1" applyAlignment="1">
      <alignment horizontal="center"/>
    </xf>
    <xf numFmtId="0" fontId="21" fillId="0" borderId="0" xfId="4" applyFont="1" applyFill="1" applyBorder="1" applyAlignment="1">
      <alignment horizontal="center"/>
    </xf>
    <xf numFmtId="0" fontId="0" fillId="0" borderId="0" xfId="0" applyFill="1"/>
    <xf numFmtId="0" fontId="5" fillId="0" borderId="0" xfId="4" applyFont="1" applyFill="1" applyBorder="1" applyAlignment="1"/>
    <xf numFmtId="0" fontId="5" fillId="0" borderId="0" xfId="4" applyFont="1" applyFill="1" applyBorder="1" applyAlignment="1">
      <alignment horizontal="center"/>
    </xf>
    <xf numFmtId="0" fontId="4" fillId="0" borderId="0" xfId="6" applyFont="1" applyFill="1"/>
    <xf numFmtId="0" fontId="7" fillId="0" borderId="0" xfId="5" applyFill="1" applyBorder="1" applyAlignment="1">
      <alignment wrapText="1"/>
    </xf>
    <xf numFmtId="1" fontId="7" fillId="0" borderId="0" xfId="5" applyNumberFormat="1" applyFill="1" applyBorder="1" applyAlignment="1">
      <alignment horizontal="center"/>
    </xf>
    <xf numFmtId="0" fontId="4" fillId="0" borderId="0" xfId="5" applyFont="1" applyFill="1" applyBorder="1"/>
    <xf numFmtId="0" fontId="3" fillId="0" borderId="0" xfId="4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wrapText="1"/>
    </xf>
    <xf numFmtId="0" fontId="1" fillId="0" borderId="0" xfId="4" applyFont="1" applyFill="1" applyBorder="1" applyAlignment="1"/>
    <xf numFmtId="4" fontId="13" fillId="0" borderId="0" xfId="0" applyNumberFormat="1" applyFont="1" applyBorder="1"/>
    <xf numFmtId="0" fontId="14" fillId="0" borderId="0" xfId="0" applyFont="1" applyBorder="1" applyAlignment="1">
      <alignment wrapText="1"/>
    </xf>
    <xf numFmtId="0" fontId="1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3" fillId="3" borderId="1" xfId="0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3" fillId="3" borderId="1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 wrapText="1"/>
    </xf>
    <xf numFmtId="0" fontId="13" fillId="0" borderId="3" xfId="1" applyFont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 applyProtection="1">
      <alignment horizontal="left" wrapText="1"/>
    </xf>
    <xf numFmtId="0" fontId="13" fillId="0" borderId="3" xfId="0" applyFont="1" applyBorder="1" applyAlignment="1" applyProtection="1">
      <alignment horizontal="left" wrapText="1"/>
    </xf>
    <xf numFmtId="0" fontId="13" fillId="0" borderId="4" xfId="0" applyFont="1" applyBorder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left" textRotation="90"/>
      <protection locked="0"/>
    </xf>
    <xf numFmtId="0" fontId="18" fillId="0" borderId="0" xfId="0" applyFont="1" applyAlignment="1" applyProtection="1">
      <alignment horizontal="left" vertical="center" textRotation="90"/>
      <protection locked="0"/>
    </xf>
    <xf numFmtId="0" fontId="18" fillId="0" borderId="0" xfId="0" applyFont="1" applyAlignment="1" applyProtection="1">
      <alignment horizontal="left" vertical="center" textRotation="90" wrapText="1"/>
      <protection locked="0"/>
    </xf>
    <xf numFmtId="0" fontId="18" fillId="0" borderId="0" xfId="0" applyFont="1" applyAlignment="1">
      <alignment horizontal="left" vertical="center" textRotation="9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justify" wrapText="1"/>
    </xf>
    <xf numFmtId="0" fontId="18" fillId="0" borderId="0" xfId="0" applyFont="1" applyBorder="1" applyAlignment="1" applyProtection="1">
      <alignment horizontal="left" vertical="center" textRotation="90"/>
      <protection locked="0"/>
    </xf>
    <xf numFmtId="0" fontId="18" fillId="0" borderId="0" xfId="0" applyFont="1" applyBorder="1" applyAlignment="1" applyProtection="1">
      <alignment horizontal="left" vertical="center" textRotation="90" wrapText="1"/>
      <protection locked="0"/>
    </xf>
    <xf numFmtId="0" fontId="28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5" sqref="K8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1" t="s">
        <v>184</v>
      </c>
      <c r="B2" s="171"/>
      <c r="C2" s="171"/>
      <c r="D2" s="171"/>
      <c r="E2" s="171"/>
      <c r="F2" s="171"/>
      <c r="G2" s="171"/>
      <c r="H2" s="171"/>
      <c r="I2" s="171"/>
      <c r="J2" s="171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7">
        <v>43466</v>
      </c>
      <c r="K4" s="110"/>
      <c r="L4" s="110"/>
      <c r="M4" s="110"/>
      <c r="N4" s="110"/>
    </row>
    <row r="5" spans="1:18">
      <c r="A5" s="1" t="s">
        <v>1</v>
      </c>
      <c r="E5" s="117">
        <v>43830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68" t="s">
        <v>2</v>
      </c>
      <c r="B8" s="169"/>
      <c r="C8" s="169"/>
      <c r="D8" s="169"/>
      <c r="E8" s="169"/>
      <c r="F8" s="169"/>
      <c r="G8" s="169"/>
      <c r="H8" s="169"/>
      <c r="I8" s="170"/>
      <c r="J8" s="17">
        <f t="shared" ref="J8:J24" si="0">VLOOKUP(O8,АО,3,FALSE)</f>
        <v>0</v>
      </c>
      <c r="K8" s="110"/>
      <c r="L8" s="172"/>
      <c r="M8" s="110"/>
      <c r="N8" s="110"/>
      <c r="O8" s="71" t="s">
        <v>90</v>
      </c>
      <c r="R8" s="16"/>
    </row>
    <row r="9" spans="1:18" ht="18.75" customHeight="1" outlineLevel="1">
      <c r="A9" s="168" t="s">
        <v>3</v>
      </c>
      <c r="B9" s="169"/>
      <c r="C9" s="169"/>
      <c r="D9" s="169"/>
      <c r="E9" s="169"/>
      <c r="F9" s="169"/>
      <c r="G9" s="169"/>
      <c r="H9" s="169"/>
      <c r="I9" s="170"/>
      <c r="J9" s="17">
        <f t="shared" si="0"/>
        <v>0</v>
      </c>
      <c r="K9" s="110"/>
      <c r="L9" s="172"/>
      <c r="M9" s="110"/>
      <c r="N9" s="110"/>
      <c r="O9" s="71" t="s">
        <v>91</v>
      </c>
    </row>
    <row r="10" spans="1:18" ht="18.75" customHeight="1" outlineLevel="1">
      <c r="A10" s="168" t="s">
        <v>4</v>
      </c>
      <c r="B10" s="169"/>
      <c r="C10" s="169"/>
      <c r="D10" s="169"/>
      <c r="E10" s="169"/>
      <c r="F10" s="169"/>
      <c r="G10" s="169"/>
      <c r="H10" s="169"/>
      <c r="I10" s="170"/>
      <c r="J10" s="17">
        <f t="shared" si="0"/>
        <v>436102.16</v>
      </c>
      <c r="K10" s="110"/>
      <c r="L10" s="172"/>
      <c r="M10" s="110"/>
      <c r="N10" s="110"/>
      <c r="O10" s="71" t="s">
        <v>92</v>
      </c>
    </row>
    <row r="11" spans="1:18" outlineLevel="1">
      <c r="A11" s="168" t="s">
        <v>5</v>
      </c>
      <c r="B11" s="169"/>
      <c r="C11" s="169"/>
      <c r="D11" s="169"/>
      <c r="E11" s="169"/>
      <c r="F11" s="169"/>
      <c r="G11" s="169"/>
      <c r="H11" s="169"/>
      <c r="I11" s="170"/>
      <c r="J11" s="17">
        <f t="shared" si="0"/>
        <v>840036.83000000007</v>
      </c>
      <c r="K11" s="110"/>
      <c r="L11" s="172"/>
      <c r="M11" s="110"/>
      <c r="N11" s="110"/>
      <c r="O11" s="71" t="s">
        <v>93</v>
      </c>
    </row>
    <row r="12" spans="1:18" ht="18.75" customHeight="1" outlineLevel="1">
      <c r="A12" s="168" t="s">
        <v>6</v>
      </c>
      <c r="B12" s="169"/>
      <c r="C12" s="169"/>
      <c r="D12" s="169"/>
      <c r="E12" s="169"/>
      <c r="F12" s="169"/>
      <c r="G12" s="169"/>
      <c r="H12" s="169"/>
      <c r="I12" s="170"/>
      <c r="J12" s="17">
        <f t="shared" si="0"/>
        <v>677513.03</v>
      </c>
      <c r="K12" s="110"/>
      <c r="L12" s="172"/>
      <c r="M12" s="110"/>
      <c r="N12" s="110"/>
      <c r="O12" s="71" t="s">
        <v>94</v>
      </c>
    </row>
    <row r="13" spans="1:18" ht="18.75" customHeight="1" outlineLevel="1">
      <c r="A13" s="168" t="s">
        <v>7</v>
      </c>
      <c r="B13" s="169"/>
      <c r="C13" s="169"/>
      <c r="D13" s="169"/>
      <c r="E13" s="169"/>
      <c r="F13" s="169"/>
      <c r="G13" s="169"/>
      <c r="H13" s="169"/>
      <c r="I13" s="170"/>
      <c r="J13" s="17">
        <f t="shared" si="0"/>
        <v>162523.79999999999</v>
      </c>
      <c r="K13" s="110"/>
      <c r="L13" s="172"/>
      <c r="M13" s="110"/>
      <c r="N13" s="110"/>
      <c r="O13" s="71" t="s">
        <v>95</v>
      </c>
    </row>
    <row r="14" spans="1:18" ht="18.75" customHeight="1" outlineLevel="1">
      <c r="A14" s="168" t="s">
        <v>8</v>
      </c>
      <c r="B14" s="169"/>
      <c r="C14" s="169"/>
      <c r="D14" s="169"/>
      <c r="E14" s="169"/>
      <c r="F14" s="169"/>
      <c r="G14" s="169"/>
      <c r="H14" s="169"/>
      <c r="I14" s="170"/>
      <c r="J14" s="17">
        <f t="shared" si="0"/>
        <v>0</v>
      </c>
      <c r="K14" s="110"/>
      <c r="L14" s="172"/>
      <c r="M14" s="110"/>
      <c r="N14" s="110"/>
      <c r="O14" s="71" t="s">
        <v>96</v>
      </c>
    </row>
    <row r="15" spans="1:18" ht="18.75" customHeight="1" outlineLevel="1">
      <c r="A15" s="168" t="s">
        <v>9</v>
      </c>
      <c r="B15" s="169"/>
      <c r="C15" s="169"/>
      <c r="D15" s="169"/>
      <c r="E15" s="169"/>
      <c r="F15" s="169"/>
      <c r="G15" s="169"/>
      <c r="H15" s="169"/>
      <c r="I15" s="170"/>
      <c r="J15" s="17">
        <f t="shared" si="0"/>
        <v>947332.43</v>
      </c>
      <c r="K15" s="110"/>
      <c r="L15" s="172"/>
      <c r="M15" s="110"/>
      <c r="N15" s="110"/>
      <c r="O15" s="71" t="s">
        <v>97</v>
      </c>
    </row>
    <row r="16" spans="1:18" ht="18.75" customHeight="1" outlineLevel="1">
      <c r="A16" s="168" t="s">
        <v>10</v>
      </c>
      <c r="B16" s="169"/>
      <c r="C16" s="169"/>
      <c r="D16" s="169"/>
      <c r="E16" s="169"/>
      <c r="F16" s="169"/>
      <c r="G16" s="169"/>
      <c r="H16" s="169"/>
      <c r="I16" s="170"/>
      <c r="J16" s="17">
        <f t="shared" si="0"/>
        <v>947332.43</v>
      </c>
      <c r="K16" s="110"/>
      <c r="L16" s="172"/>
      <c r="M16" s="110"/>
      <c r="N16" s="110"/>
      <c r="O16" s="71" t="s">
        <v>98</v>
      </c>
    </row>
    <row r="17" spans="1:23" ht="18.75" customHeight="1" outlineLevel="1">
      <c r="A17" s="168" t="s">
        <v>11</v>
      </c>
      <c r="B17" s="169"/>
      <c r="C17" s="169"/>
      <c r="D17" s="169"/>
      <c r="E17" s="169"/>
      <c r="F17" s="169"/>
      <c r="G17" s="169"/>
      <c r="H17" s="169"/>
      <c r="I17" s="170"/>
      <c r="J17" s="17">
        <f t="shared" si="0"/>
        <v>0</v>
      </c>
      <c r="K17" s="110"/>
      <c r="L17" s="172"/>
      <c r="M17" s="110"/>
      <c r="N17" s="110"/>
      <c r="O17" s="71" t="s">
        <v>99</v>
      </c>
    </row>
    <row r="18" spans="1:23" ht="18.75" customHeight="1" outlineLevel="1">
      <c r="A18" s="168" t="s">
        <v>12</v>
      </c>
      <c r="B18" s="169"/>
      <c r="C18" s="169"/>
      <c r="D18" s="169"/>
      <c r="E18" s="169"/>
      <c r="F18" s="169"/>
      <c r="G18" s="169"/>
      <c r="H18" s="169"/>
      <c r="I18" s="170"/>
      <c r="J18" s="17">
        <f t="shared" si="0"/>
        <v>0</v>
      </c>
      <c r="K18" s="110"/>
      <c r="L18" s="172"/>
      <c r="M18" s="110"/>
      <c r="N18" s="110"/>
      <c r="O18" s="71" t="s">
        <v>100</v>
      </c>
    </row>
    <row r="19" spans="1:23" ht="18.75" customHeight="1" outlineLevel="1">
      <c r="A19" s="168" t="s">
        <v>13</v>
      </c>
      <c r="B19" s="169"/>
      <c r="C19" s="169"/>
      <c r="D19" s="169"/>
      <c r="E19" s="169"/>
      <c r="F19" s="169"/>
      <c r="G19" s="169"/>
      <c r="H19" s="169"/>
      <c r="I19" s="170"/>
      <c r="J19" s="17">
        <f t="shared" si="0"/>
        <v>0</v>
      </c>
      <c r="K19" s="110"/>
      <c r="L19" s="172"/>
      <c r="M19" s="110"/>
      <c r="N19" s="110"/>
      <c r="O19" s="71" t="s">
        <v>101</v>
      </c>
    </row>
    <row r="20" spans="1:23" ht="18.75" customHeight="1" outlineLevel="1">
      <c r="A20" s="168" t="s">
        <v>14</v>
      </c>
      <c r="B20" s="169"/>
      <c r="C20" s="169"/>
      <c r="D20" s="169"/>
      <c r="E20" s="169"/>
      <c r="F20" s="169"/>
      <c r="G20" s="169"/>
      <c r="H20" s="169"/>
      <c r="I20" s="170"/>
      <c r="J20" s="17">
        <f t="shared" si="0"/>
        <v>0</v>
      </c>
      <c r="K20" s="110"/>
      <c r="L20" s="172"/>
      <c r="M20" s="110"/>
      <c r="N20" s="110"/>
      <c r="O20" s="71" t="s">
        <v>102</v>
      </c>
    </row>
    <row r="21" spans="1:23" ht="18.75" customHeight="1" outlineLevel="1">
      <c r="A21" s="168" t="s">
        <v>15</v>
      </c>
      <c r="B21" s="169"/>
      <c r="C21" s="169"/>
      <c r="D21" s="169"/>
      <c r="E21" s="169"/>
      <c r="F21" s="169"/>
      <c r="G21" s="169"/>
      <c r="H21" s="169"/>
      <c r="I21" s="170"/>
      <c r="J21" s="17">
        <f t="shared" si="0"/>
        <v>947332.43</v>
      </c>
      <c r="K21" s="110"/>
      <c r="L21" s="172"/>
      <c r="M21" s="110"/>
      <c r="N21" s="110"/>
      <c r="O21" s="71" t="s">
        <v>103</v>
      </c>
    </row>
    <row r="22" spans="1:23" ht="18.75" customHeight="1" outlineLevel="1">
      <c r="A22" s="168" t="s">
        <v>16</v>
      </c>
      <c r="B22" s="169"/>
      <c r="C22" s="169"/>
      <c r="D22" s="169"/>
      <c r="E22" s="169"/>
      <c r="F22" s="169"/>
      <c r="G22" s="169"/>
      <c r="H22" s="169"/>
      <c r="I22" s="170"/>
      <c r="J22" s="17">
        <f t="shared" si="0"/>
        <v>0</v>
      </c>
      <c r="K22" s="110"/>
      <c r="L22" s="172"/>
      <c r="M22" s="110"/>
      <c r="N22" s="110"/>
      <c r="O22" s="71" t="s">
        <v>104</v>
      </c>
    </row>
    <row r="23" spans="1:23" ht="18.75" customHeight="1" outlineLevel="1">
      <c r="A23" s="168" t="s">
        <v>17</v>
      </c>
      <c r="B23" s="169"/>
      <c r="C23" s="169"/>
      <c r="D23" s="169"/>
      <c r="E23" s="169"/>
      <c r="F23" s="169"/>
      <c r="G23" s="169"/>
      <c r="H23" s="169"/>
      <c r="I23" s="170"/>
      <c r="J23" s="17">
        <f t="shared" si="0"/>
        <v>0</v>
      </c>
      <c r="K23" s="110"/>
      <c r="L23" s="172"/>
      <c r="M23" s="110"/>
      <c r="N23" s="110"/>
      <c r="O23" s="71" t="s">
        <v>105</v>
      </c>
    </row>
    <row r="24" spans="1:23" ht="18.75" customHeight="1" outlineLevel="1">
      <c r="A24" s="168" t="s">
        <v>18</v>
      </c>
      <c r="B24" s="169"/>
      <c r="C24" s="169"/>
      <c r="D24" s="169"/>
      <c r="E24" s="169"/>
      <c r="F24" s="169"/>
      <c r="G24" s="169"/>
      <c r="H24" s="169"/>
      <c r="I24" s="170"/>
      <c r="J24" s="17">
        <f t="shared" si="0"/>
        <v>328806.55999999994</v>
      </c>
      <c r="K24" s="110"/>
      <c r="L24" s="172"/>
      <c r="M24" s="110"/>
      <c r="N24" s="110"/>
      <c r="O24" s="71" t="s">
        <v>106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5" t="s">
        <v>19</v>
      </c>
      <c r="B27" s="155"/>
      <c r="C27" s="155"/>
      <c r="D27" s="155"/>
      <c r="E27" s="155"/>
      <c r="F27" s="155" t="s">
        <v>20</v>
      </c>
      <c r="G27" s="155"/>
      <c r="H27" s="5" t="s">
        <v>57</v>
      </c>
      <c r="I27" s="155" t="s">
        <v>21</v>
      </c>
      <c r="J27" s="155"/>
      <c r="K27" s="110"/>
      <c r="L27" s="173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0">
        <f>VLOOKUP(A28,ПТО!$A$39:$D$53,2,FALSE)</f>
        <v>265816.68</v>
      </c>
      <c r="G28" s="150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10"/>
      <c r="L28" s="173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9" t="str">
        <f>ПТО!A40</f>
        <v>Работы по содержанию лифта (лифтов)</v>
      </c>
      <c r="B29" s="149"/>
      <c r="C29" s="149"/>
      <c r="D29" s="149"/>
      <c r="E29" s="149"/>
      <c r="F29" s="150">
        <f>VLOOKUP(A29,ПТО!$A$39:$D$53,2,FALSE)</f>
        <v>54174.6</v>
      </c>
      <c r="G29" s="150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10"/>
      <c r="L29" s="173"/>
      <c r="M29" s="110"/>
      <c r="N29" s="110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0">
        <f>VLOOKUP(A30,ПТО!$A$39:$D$53,2,FALSE)</f>
        <v>42978.48</v>
      </c>
      <c r="G30" s="150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10"/>
      <c r="L30" s="173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0">
        <f>VLOOKUP(A31,ПТО!$A$39:$D$53,2,FALSE)</f>
        <v>43339.68</v>
      </c>
      <c r="G31" s="150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10"/>
      <c r="L31" s="173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10"/>
      <c r="L32" s="173"/>
      <c r="M32" s="110"/>
      <c r="N32" s="110"/>
      <c r="O32" s="23">
        <f t="shared" si="1"/>
        <v>0</v>
      </c>
      <c r="R32" s="1" t="s">
        <v>75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0">
        <f>VLOOKUP(A33,ПТО!$A$39:$D$53,2,FALSE)</f>
        <v>13724.28</v>
      </c>
      <c r="G33" s="150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10"/>
      <c r="L33" s="173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0">
        <f>VLOOKUP(A34,ПТО!$A$39:$D$53,2,FALSE)</f>
        <v>67537.679999999993</v>
      </c>
      <c r="G34" s="150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10"/>
      <c r="L34" s="173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9" t="str">
        <f>ПТО!A46</f>
        <v>Работы (услуги) по управлению многоквартирным домом</v>
      </c>
      <c r="B35" s="149"/>
      <c r="C35" s="149"/>
      <c r="D35" s="149"/>
      <c r="E35" s="149"/>
      <c r="F35" s="150">
        <f>VLOOKUP(A35,ПТО!$A$39:$D$53,2,FALSE)</f>
        <v>180582</v>
      </c>
      <c r="G35" s="150"/>
      <c r="H35" s="42" t="str">
        <f>VLOOKUP(A35,ПТО!$A$39:$D$53,3,FALSE)</f>
        <v>Ежемесячно</v>
      </c>
      <c r="I35" s="151">
        <f>VLOOKUP(A35,ПТО!$A$39:$D$53,4,FALSE)</f>
        <v>12</v>
      </c>
      <c r="J35" s="151"/>
      <c r="K35" s="110"/>
      <c r="L35" s="173"/>
      <c r="M35" s="116"/>
      <c r="N35" s="110"/>
      <c r="O35" s="23" t="str">
        <f t="shared" si="1"/>
        <v>Работы (услуги) по управлению многоквартирным домом</v>
      </c>
      <c r="R35" s="1" t="s">
        <v>75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51" t="e">
        <f>VLOOKUP(A36,ПТО!$A$39:$D$53,4,FALSE)</f>
        <v>#N/A</v>
      </c>
      <c r="J36" s="151"/>
      <c r="K36" s="110"/>
      <c r="L36" s="173"/>
      <c r="M36" s="116"/>
      <c r="N36" s="110"/>
      <c r="O36" s="23">
        <f t="shared" si="1"/>
        <v>0</v>
      </c>
      <c r="R36" s="1" t="s">
        <v>75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10"/>
      <c r="L37" s="173"/>
      <c r="M37" s="116"/>
      <c r="N37" s="110"/>
      <c r="O37" s="23">
        <f t="shared" si="1"/>
        <v>0</v>
      </c>
      <c r="R37" s="1" t="s">
        <v>75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10"/>
      <c r="L38" s="173"/>
      <c r="M38" s="116"/>
      <c r="N38" s="110"/>
      <c r="O38" s="23">
        <f t="shared" si="1"/>
        <v>0</v>
      </c>
      <c r="R38" s="1" t="s">
        <v>75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10"/>
      <c r="L39" s="173"/>
      <c r="M39" s="116"/>
      <c r="N39" s="110"/>
      <c r="O39" s="23">
        <f t="shared" si="1"/>
        <v>0</v>
      </c>
      <c r="R39" s="1" t="s">
        <v>75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10"/>
      <c r="L40" s="173"/>
      <c r="M40" s="116"/>
      <c r="N40" s="110"/>
      <c r="O40" s="23">
        <f t="shared" si="1"/>
        <v>0</v>
      </c>
      <c r="R40" s="1" t="s">
        <v>75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10"/>
      <c r="L41" s="173"/>
      <c r="M41" s="116"/>
      <c r="N41" s="110"/>
      <c r="O41" s="23">
        <f t="shared" si="1"/>
        <v>0</v>
      </c>
      <c r="R41" s="1" t="s">
        <v>75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10"/>
      <c r="L42" s="173"/>
      <c r="M42" s="116"/>
      <c r="N42" s="110"/>
      <c r="O42" s="23">
        <f t="shared" si="1"/>
        <v>0</v>
      </c>
      <c r="R42" s="1" t="s">
        <v>75</v>
      </c>
    </row>
    <row r="43" spans="1:18" ht="51" customHeight="1" outlineLevel="1">
      <c r="A43" s="149" t="str">
        <f>ПТО!A2</f>
        <v>Техническое освидетельствование лифта.</v>
      </c>
      <c r="B43" s="149"/>
      <c r="C43" s="149"/>
      <c r="D43" s="149"/>
      <c r="E43" s="149"/>
      <c r="F43" s="150">
        <f>VLOOKUP(A43,ПТО!$A$2:$D$31,4,FALSE)</f>
        <v>8100</v>
      </c>
      <c r="G43" s="150"/>
      <c r="H43" s="19" t="str">
        <f>VLOOKUP(A43,ПТО!$A$2:$D$31,2,FALSE)</f>
        <v>ежегодно</v>
      </c>
      <c r="I43" s="151">
        <f>VLOOKUP(A43,ПТО!$A$2:$D$31,3,FALSE)</f>
        <v>1</v>
      </c>
      <c r="J43" s="151"/>
      <c r="K43" s="110"/>
      <c r="L43" s="173"/>
      <c r="M43" s="116"/>
      <c r="N43" s="110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9" t="str">
        <f>ПТО!A3</f>
        <v>Замена АКБ для лифта.</v>
      </c>
      <c r="B44" s="149"/>
      <c r="C44" s="149"/>
      <c r="D44" s="149"/>
      <c r="E44" s="149"/>
      <c r="F44" s="150">
        <f>VLOOKUP(A44,ПТО!$A$2:$D$31,4,FALSE)</f>
        <v>1450</v>
      </c>
      <c r="G44" s="150"/>
      <c r="H44" s="25" t="str">
        <f>VLOOKUP(A44,ПТО!$A$2:$D$31,2,FALSE)</f>
        <v>разово</v>
      </c>
      <c r="I44" s="151">
        <f>VLOOKUP(A44,ПТО!$A$2:$D$31,3,FALSE)</f>
        <v>1</v>
      </c>
      <c r="J44" s="151"/>
      <c r="K44" s="110"/>
      <c r="L44" s="173"/>
      <c r="M44" s="116"/>
      <c r="N44" s="110"/>
      <c r="O44" s="23" t="str">
        <f t="shared" si="1"/>
        <v>Замена АКБ для лифта.</v>
      </c>
      <c r="R44" s="22" t="s">
        <v>76</v>
      </c>
    </row>
    <row r="45" spans="1:18" ht="51" customHeight="1" outlineLevel="1">
      <c r="A45" s="149" t="str">
        <f>ПТО!A4</f>
        <v>Замена привода кабины лифта.</v>
      </c>
      <c r="B45" s="149"/>
      <c r="C45" s="149"/>
      <c r="D45" s="149"/>
      <c r="E45" s="149"/>
      <c r="F45" s="150">
        <f>VLOOKUP(A45,ПТО!$A$2:$D$31,4,FALSE)</f>
        <v>29500</v>
      </c>
      <c r="G45" s="150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10"/>
      <c r="L45" s="173"/>
      <c r="M45" s="116"/>
      <c r="N45" s="110"/>
      <c r="O45" s="23" t="str">
        <f t="shared" si="1"/>
        <v>Замена привода кабины лифта.</v>
      </c>
      <c r="R45" s="22" t="s">
        <v>76</v>
      </c>
    </row>
    <row r="46" spans="1:18" ht="51" customHeight="1" outlineLevel="1">
      <c r="A46" s="149" t="str">
        <f>ПТО!A5</f>
        <v>Приобретение бесперебойного блока питания системы видеонаблюдения.</v>
      </c>
      <c r="B46" s="149"/>
      <c r="C46" s="149"/>
      <c r="D46" s="149"/>
      <c r="E46" s="149"/>
      <c r="F46" s="150">
        <f>VLOOKUP(A46,ПТО!$A$2:$D$31,4,FALSE)</f>
        <v>2978</v>
      </c>
      <c r="G46" s="150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10"/>
      <c r="L46" s="173"/>
      <c r="M46" s="116"/>
      <c r="N46" s="110"/>
      <c r="O46" s="23" t="str">
        <f t="shared" si="1"/>
        <v>Приобретение бесперебойного блока питания системы видеонаблюдения.</v>
      </c>
      <c r="R46" s="22" t="s">
        <v>76</v>
      </c>
    </row>
    <row r="47" spans="1:18" ht="51" customHeight="1" outlineLevel="1">
      <c r="A47" s="149" t="str">
        <f>ПТО!A6</f>
        <v>Замена счетчика электрической энергии.</v>
      </c>
      <c r="B47" s="149"/>
      <c r="C47" s="149"/>
      <c r="D47" s="149"/>
      <c r="E47" s="149"/>
      <c r="F47" s="150">
        <f>VLOOKUP(A47,ПТО!$A$2:$D$31,4,FALSE)</f>
        <v>2437.5</v>
      </c>
      <c r="G47" s="150"/>
      <c r="H47" s="25" t="str">
        <f>VLOOKUP(A47,ПТО!$A$2:$D$31,2,FALSE)</f>
        <v>разово</v>
      </c>
      <c r="I47" s="151">
        <f>VLOOKUP(A47,ПТО!$A$2:$D$31,3,FALSE)</f>
        <v>1</v>
      </c>
      <c r="J47" s="151"/>
      <c r="K47" s="110"/>
      <c r="L47" s="173"/>
      <c r="M47" s="116"/>
      <c r="N47" s="110"/>
      <c r="O47" s="23" t="str">
        <f t="shared" si="1"/>
        <v>Замена счетчика электрической энергии.</v>
      </c>
      <c r="R47" s="22" t="s">
        <v>76</v>
      </c>
    </row>
    <row r="48" spans="1:18" ht="51" customHeight="1" outlineLevel="1">
      <c r="A48" s="149" t="str">
        <f>ПТО!A7</f>
        <v>Замена электронного блока управления вызовами лифта.</v>
      </c>
      <c r="B48" s="149"/>
      <c r="C48" s="149"/>
      <c r="D48" s="149"/>
      <c r="E48" s="149"/>
      <c r="F48" s="150">
        <f>VLOOKUP(A48,ПТО!$A$2:$D$31,4,FALSE)</f>
        <v>12950</v>
      </c>
      <c r="G48" s="150"/>
      <c r="H48" s="25" t="str">
        <f>VLOOKUP(A48,ПТО!$A$2:$D$31,2,FALSE)</f>
        <v>разово</v>
      </c>
      <c r="I48" s="151">
        <f>VLOOKUP(A48,ПТО!$A$2:$D$31,3,FALSE)</f>
        <v>1</v>
      </c>
      <c r="J48" s="151"/>
      <c r="K48" s="110"/>
      <c r="L48" s="173"/>
      <c r="M48" s="116"/>
      <c r="N48" s="110"/>
      <c r="O48" s="23" t="str">
        <f t="shared" si="1"/>
        <v>Замена электронного блока управления вызовами лифта.</v>
      </c>
      <c r="R48" s="22" t="s">
        <v>76</v>
      </c>
    </row>
    <row r="49" spans="1:18" ht="51" customHeight="1" outlineLevel="1">
      <c r="A49" s="149" t="str">
        <f>ПТО!A8</f>
        <v>Приобретение 2-х цилиндрических видеокамер.</v>
      </c>
      <c r="B49" s="149"/>
      <c r="C49" s="149"/>
      <c r="D49" s="149"/>
      <c r="E49" s="149"/>
      <c r="F49" s="150">
        <f>VLOOKUP(A49,ПТО!$A$2:$D$31,4,FALSE)</f>
        <v>7472</v>
      </c>
      <c r="G49" s="150"/>
      <c r="H49" s="25" t="str">
        <f>VLOOKUP(A49,ПТО!$A$2:$D$31,2,FALSE)</f>
        <v>разово</v>
      </c>
      <c r="I49" s="151">
        <f>VLOOKUP(A49,ПТО!$A$2:$D$31,3,FALSE)</f>
        <v>1</v>
      </c>
      <c r="J49" s="151"/>
      <c r="K49" s="110"/>
      <c r="L49" s="173"/>
      <c r="M49" s="116"/>
      <c r="N49" s="110"/>
      <c r="O49" s="23" t="str">
        <f t="shared" si="1"/>
        <v>Приобретение 2-х цилиндрических видеокамер.</v>
      </c>
      <c r="R49" s="22" t="s">
        <v>76</v>
      </c>
    </row>
    <row r="50" spans="1:18" ht="51" customHeight="1" outlineLevel="1">
      <c r="A50" s="149" t="str">
        <f>ПТО!A9</f>
        <v>Приобретение и монтаж противоскользящего коврика.</v>
      </c>
      <c r="B50" s="149"/>
      <c r="C50" s="149"/>
      <c r="D50" s="149"/>
      <c r="E50" s="149"/>
      <c r="F50" s="150">
        <f>VLOOKUP(A50,ПТО!$A$2:$D$31,4,FALSE)</f>
        <v>7088</v>
      </c>
      <c r="G50" s="150"/>
      <c r="H50" s="25" t="str">
        <f>VLOOKUP(A50,ПТО!$A$2:$D$31,2,FALSE)</f>
        <v>разово</v>
      </c>
      <c r="I50" s="151">
        <f>VLOOKUP(A50,ПТО!$A$2:$D$31,3,FALSE)</f>
        <v>1</v>
      </c>
      <c r="J50" s="151"/>
      <c r="K50" s="110"/>
      <c r="L50" s="173"/>
      <c r="M50" s="116"/>
      <c r="N50" s="110"/>
      <c r="O50" s="23" t="str">
        <f t="shared" si="1"/>
        <v>Приобретение и монтаж противоскользящего коврика.</v>
      </c>
      <c r="R50" s="22" t="s">
        <v>76</v>
      </c>
    </row>
    <row r="51" spans="1:18" ht="51" hidden="1" customHeight="1" outlineLevel="1">
      <c r="A51" s="149">
        <f>ПТО!A10</f>
        <v>0</v>
      </c>
      <c r="B51" s="149"/>
      <c r="C51" s="149"/>
      <c r="D51" s="149"/>
      <c r="E51" s="149"/>
      <c r="F51" s="150" t="e">
        <f>VLOOKUP(A51,ПТО!$A$2:$D$31,4,FALSE)</f>
        <v>#N/A</v>
      </c>
      <c r="G51" s="150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10"/>
      <c r="L51" s="173"/>
      <c r="M51" s="116"/>
      <c r="N51" s="110"/>
      <c r="O51" s="23">
        <f t="shared" si="1"/>
        <v>0</v>
      </c>
      <c r="R51" s="22" t="s">
        <v>76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0" t="e">
        <f>VLOOKUP(A52,ПТО!$A$2:$D$31,4,FALSE)</f>
        <v>#N/A</v>
      </c>
      <c r="G52" s="150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10"/>
      <c r="L52" s="173"/>
      <c r="M52" s="116"/>
      <c r="N52" s="110"/>
      <c r="O52" s="23">
        <f t="shared" si="1"/>
        <v>0</v>
      </c>
      <c r="R52" s="22" t="s">
        <v>76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0" t="e">
        <f>VLOOKUP(A53,ПТО!$A$2:$D$31,4,FALSE)</f>
        <v>#N/A</v>
      </c>
      <c r="G53" s="150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10"/>
      <c r="L53" s="173"/>
      <c r="M53" s="116"/>
      <c r="N53" s="110"/>
      <c r="O53" s="23">
        <f t="shared" si="1"/>
        <v>0</v>
      </c>
      <c r="R53" s="22" t="s">
        <v>76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0" t="e">
        <f>VLOOKUP(A54,ПТО!$A$2:$D$31,4,FALSE)</f>
        <v>#N/A</v>
      </c>
      <c r="G54" s="150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10"/>
      <c r="L54" s="173"/>
      <c r="M54" s="116"/>
      <c r="N54" s="110"/>
      <c r="O54" s="23">
        <f t="shared" si="1"/>
        <v>0</v>
      </c>
      <c r="R54" s="22" t="s">
        <v>76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10"/>
      <c r="L55" s="173"/>
      <c r="M55" s="116"/>
      <c r="N55" s="110"/>
      <c r="O55" s="23">
        <f t="shared" si="1"/>
        <v>0</v>
      </c>
      <c r="R55" s="22" t="s">
        <v>76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10"/>
      <c r="L56" s="173"/>
      <c r="M56" s="116"/>
      <c r="N56" s="110"/>
      <c r="O56" s="23">
        <f t="shared" si="1"/>
        <v>0</v>
      </c>
      <c r="R56" s="22" t="s">
        <v>76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10"/>
      <c r="L57" s="173"/>
      <c r="M57" s="116"/>
      <c r="N57" s="110"/>
      <c r="O57" s="23">
        <f t="shared" si="1"/>
        <v>0</v>
      </c>
      <c r="R57" s="22" t="s">
        <v>76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10"/>
      <c r="L58" s="173"/>
      <c r="M58" s="116"/>
      <c r="N58" s="110"/>
      <c r="O58" s="23">
        <f t="shared" si="1"/>
        <v>0</v>
      </c>
      <c r="R58" s="22" t="s">
        <v>76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10"/>
      <c r="L59" s="173"/>
      <c r="M59" s="116"/>
      <c r="N59" s="110"/>
      <c r="O59" s="23">
        <f t="shared" si="1"/>
        <v>0</v>
      </c>
      <c r="R59" s="22" t="s">
        <v>76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10"/>
      <c r="L60" s="173"/>
      <c r="M60" s="116"/>
      <c r="N60" s="110"/>
      <c r="O60" s="23">
        <f t="shared" si="1"/>
        <v>0</v>
      </c>
      <c r="R60" s="22" t="s">
        <v>76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10"/>
      <c r="L61" s="173"/>
      <c r="M61" s="116"/>
      <c r="N61" s="110"/>
      <c r="O61" s="23">
        <f t="shared" si="1"/>
        <v>0</v>
      </c>
      <c r="R61" s="22" t="s">
        <v>76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10"/>
      <c r="L62" s="173"/>
      <c r="M62" s="116"/>
      <c r="N62" s="110"/>
      <c r="O62" s="23">
        <f t="shared" si="1"/>
        <v>0</v>
      </c>
      <c r="R62" s="22" t="s">
        <v>76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10"/>
      <c r="L63" s="173"/>
      <c r="M63" s="116"/>
      <c r="N63" s="110"/>
      <c r="O63" s="23">
        <f t="shared" si="1"/>
        <v>0</v>
      </c>
      <c r="R63" s="22" t="s">
        <v>76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10"/>
      <c r="L64" s="173"/>
      <c r="M64" s="116"/>
      <c r="N64" s="110"/>
      <c r="O64" s="23">
        <f t="shared" si="1"/>
        <v>0</v>
      </c>
      <c r="R64" s="22" t="s">
        <v>76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10"/>
      <c r="L65" s="173"/>
      <c r="M65" s="116"/>
      <c r="N65" s="110"/>
      <c r="O65" s="23">
        <f t="shared" si="1"/>
        <v>0</v>
      </c>
      <c r="R65" s="22" t="s">
        <v>76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10"/>
      <c r="L66" s="173"/>
      <c r="M66" s="116"/>
      <c r="N66" s="110"/>
      <c r="O66" s="23">
        <f t="shared" si="1"/>
        <v>0</v>
      </c>
      <c r="R66" s="22" t="s">
        <v>76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10"/>
      <c r="L67" s="173"/>
      <c r="M67" s="116"/>
      <c r="N67" s="110"/>
      <c r="O67" s="23">
        <f t="shared" si="1"/>
        <v>0</v>
      </c>
      <c r="R67" s="22" t="s">
        <v>76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10"/>
      <c r="L68" s="173"/>
      <c r="M68" s="116"/>
      <c r="N68" s="110"/>
      <c r="O68" s="23">
        <f t="shared" si="1"/>
        <v>0</v>
      </c>
      <c r="R68" s="22" t="s">
        <v>76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10"/>
      <c r="L69" s="173"/>
      <c r="M69" s="116"/>
      <c r="N69" s="110"/>
      <c r="O69" s="23">
        <f t="shared" si="1"/>
        <v>0</v>
      </c>
      <c r="R69" s="22" t="s">
        <v>76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10"/>
      <c r="L70" s="173"/>
      <c r="M70" s="116"/>
      <c r="N70" s="110"/>
      <c r="O70" s="23">
        <f t="shared" si="1"/>
        <v>0</v>
      </c>
      <c r="R70" s="22" t="s">
        <v>76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6"/>
      <c r="L71" s="173"/>
      <c r="M71" s="116"/>
      <c r="N71" s="116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10"/>
      <c r="L72" s="173"/>
      <c r="M72" s="116"/>
      <c r="N72" s="110"/>
      <c r="O72" s="23">
        <f t="shared" si="1"/>
        <v>0</v>
      </c>
      <c r="R72" s="22" t="s">
        <v>76</v>
      </c>
    </row>
    <row r="73" spans="1:16384">
      <c r="A73" s="105" t="s">
        <v>182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7" t="s">
        <v>27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10"/>
      <c r="L75" s="156"/>
      <c r="M75" s="110"/>
      <c r="N75" s="110"/>
      <c r="O75" s="71" t="s">
        <v>107</v>
      </c>
    </row>
    <row r="76" spans="1:16384" ht="18.75" customHeight="1" outlineLevel="1">
      <c r="A76" s="167" t="s">
        <v>28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10"/>
      <c r="L76" s="156"/>
      <c r="M76" s="110"/>
      <c r="N76" s="110"/>
      <c r="O76" s="71" t="s">
        <v>108</v>
      </c>
    </row>
    <row r="77" spans="1:16384" ht="21.75" customHeight="1" outlineLevel="1">
      <c r="A77" s="167" t="s">
        <v>29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10"/>
      <c r="L77" s="156"/>
      <c r="M77" s="110"/>
      <c r="N77" s="110"/>
      <c r="O77" s="71" t="s">
        <v>109</v>
      </c>
    </row>
    <row r="78" spans="1:16384" ht="18.75" customHeight="1" outlineLevel="1">
      <c r="A78" s="167" t="s">
        <v>30</v>
      </c>
      <c r="B78" s="167"/>
      <c r="C78" s="167"/>
      <c r="D78" s="167"/>
      <c r="E78" s="167"/>
      <c r="F78" s="167"/>
      <c r="G78" s="167"/>
      <c r="H78" s="167"/>
      <c r="I78" s="167"/>
      <c r="J78" s="98">
        <f>VLOOKUP(O78,АО,3,FALSE)</f>
        <v>0</v>
      </c>
      <c r="K78" s="110"/>
      <c r="L78" s="156"/>
      <c r="M78" s="110"/>
      <c r="N78" s="110"/>
      <c r="O78" s="71" t="s">
        <v>110</v>
      </c>
    </row>
    <row r="79" spans="1:16384">
      <c r="A79" s="115" t="s">
        <v>182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7" t="s">
        <v>2</v>
      </c>
      <c r="B81" s="157"/>
      <c r="C81" s="157"/>
      <c r="D81" s="157"/>
      <c r="E81" s="157"/>
      <c r="F81" s="157"/>
      <c r="G81" s="157"/>
      <c r="H81" s="157"/>
      <c r="I81" s="157"/>
      <c r="J81" s="98">
        <f t="shared" ref="J81:J90" si="2">VLOOKUP(O81,АО,3,FALSE)</f>
        <v>0</v>
      </c>
      <c r="K81" s="110"/>
      <c r="L81" s="174"/>
      <c r="M81" s="110"/>
      <c r="N81" s="110"/>
      <c r="O81" s="71" t="s">
        <v>111</v>
      </c>
    </row>
    <row r="82" spans="1:15" outlineLevel="1">
      <c r="A82" s="157" t="s">
        <v>3</v>
      </c>
      <c r="B82" s="157"/>
      <c r="C82" s="157"/>
      <c r="D82" s="157"/>
      <c r="E82" s="157"/>
      <c r="F82" s="157"/>
      <c r="G82" s="157"/>
      <c r="H82" s="157"/>
      <c r="I82" s="157"/>
      <c r="J82" s="98">
        <f t="shared" si="2"/>
        <v>0</v>
      </c>
      <c r="K82" s="110"/>
      <c r="L82" s="174"/>
      <c r="M82" s="110"/>
      <c r="N82" s="110"/>
      <c r="O82" s="71" t="s">
        <v>112</v>
      </c>
    </row>
    <row r="83" spans="1:15" outlineLevel="1">
      <c r="A83" s="164" t="s">
        <v>4</v>
      </c>
      <c r="B83" s="165"/>
      <c r="C83" s="165"/>
      <c r="D83" s="165"/>
      <c r="E83" s="165"/>
      <c r="F83" s="165"/>
      <c r="G83" s="165"/>
      <c r="H83" s="165"/>
      <c r="I83" s="166"/>
      <c r="J83" s="98">
        <f t="shared" si="2"/>
        <v>196558.03</v>
      </c>
      <c r="K83" s="110"/>
      <c r="L83" s="174"/>
      <c r="M83" s="110"/>
      <c r="N83" s="110"/>
      <c r="O83" s="71" t="s">
        <v>113</v>
      </c>
    </row>
    <row r="84" spans="1:15" outlineLevel="1">
      <c r="A84" s="164" t="s">
        <v>16</v>
      </c>
      <c r="B84" s="165"/>
      <c r="C84" s="165"/>
      <c r="D84" s="165"/>
      <c r="E84" s="165"/>
      <c r="F84" s="165"/>
      <c r="G84" s="165"/>
      <c r="H84" s="165"/>
      <c r="I84" s="166"/>
      <c r="J84" s="98">
        <f t="shared" si="2"/>
        <v>0</v>
      </c>
      <c r="K84" s="110"/>
      <c r="L84" s="174"/>
      <c r="M84" s="110"/>
      <c r="N84" s="110"/>
      <c r="O84" s="71" t="s">
        <v>114</v>
      </c>
    </row>
    <row r="85" spans="1:15" outlineLevel="1">
      <c r="A85" s="164" t="s">
        <v>17</v>
      </c>
      <c r="B85" s="165"/>
      <c r="C85" s="165"/>
      <c r="D85" s="165"/>
      <c r="E85" s="165"/>
      <c r="F85" s="165"/>
      <c r="G85" s="165"/>
      <c r="H85" s="165"/>
      <c r="I85" s="166"/>
      <c r="J85" s="98">
        <f t="shared" si="2"/>
        <v>0</v>
      </c>
      <c r="K85" s="110"/>
      <c r="L85" s="174"/>
      <c r="M85" s="110"/>
      <c r="N85" s="110"/>
      <c r="O85" s="71" t="s">
        <v>115</v>
      </c>
    </row>
    <row r="86" spans="1:15" outlineLevel="1">
      <c r="A86" s="164" t="s">
        <v>18</v>
      </c>
      <c r="B86" s="165"/>
      <c r="C86" s="165"/>
      <c r="D86" s="165"/>
      <c r="E86" s="165"/>
      <c r="F86" s="165"/>
      <c r="G86" s="165"/>
      <c r="H86" s="165"/>
      <c r="I86" s="166"/>
      <c r="J86" s="98">
        <f t="shared" si="2"/>
        <v>96065.93</v>
      </c>
      <c r="K86" s="110"/>
      <c r="L86" s="174"/>
      <c r="M86" s="110"/>
      <c r="N86" s="110"/>
      <c r="O86" s="71" t="s">
        <v>116</v>
      </c>
    </row>
    <row r="87" spans="1:15" ht="18.75" customHeight="1" outlineLevel="1">
      <c r="A87" s="164" t="s">
        <v>27</v>
      </c>
      <c r="B87" s="165"/>
      <c r="C87" s="165"/>
      <c r="D87" s="165"/>
      <c r="E87" s="165"/>
      <c r="F87" s="165"/>
      <c r="G87" s="165"/>
      <c r="H87" s="165"/>
      <c r="I87" s="166"/>
      <c r="J87" s="8">
        <f t="shared" si="2"/>
        <v>0</v>
      </c>
      <c r="K87" s="110"/>
      <c r="L87" s="174"/>
      <c r="M87" s="110"/>
      <c r="N87" s="110"/>
      <c r="O87" s="71" t="s">
        <v>117</v>
      </c>
    </row>
    <row r="88" spans="1:15" ht="18.75" customHeight="1" outlineLevel="1">
      <c r="A88" s="164" t="s">
        <v>28</v>
      </c>
      <c r="B88" s="165"/>
      <c r="C88" s="165"/>
      <c r="D88" s="165"/>
      <c r="E88" s="165"/>
      <c r="F88" s="165"/>
      <c r="G88" s="165"/>
      <c r="H88" s="165"/>
      <c r="I88" s="166"/>
      <c r="J88" s="8">
        <f t="shared" si="2"/>
        <v>0</v>
      </c>
      <c r="K88" s="110"/>
      <c r="L88" s="174"/>
      <c r="M88" s="110"/>
      <c r="N88" s="110"/>
      <c r="O88" s="71" t="s">
        <v>118</v>
      </c>
    </row>
    <row r="89" spans="1:15" ht="18.75" customHeight="1" outlineLevel="1">
      <c r="A89" s="164" t="s">
        <v>29</v>
      </c>
      <c r="B89" s="165"/>
      <c r="C89" s="165"/>
      <c r="D89" s="165"/>
      <c r="E89" s="165"/>
      <c r="F89" s="165"/>
      <c r="G89" s="165"/>
      <c r="H89" s="165"/>
      <c r="I89" s="166"/>
      <c r="J89" s="8">
        <f t="shared" si="2"/>
        <v>0</v>
      </c>
      <c r="K89" s="110"/>
      <c r="L89" s="174"/>
      <c r="M89" s="110"/>
      <c r="N89" s="110"/>
      <c r="O89" s="71" t="s">
        <v>119</v>
      </c>
    </row>
    <row r="90" spans="1:15" ht="18.75" customHeight="1" outlineLevel="1">
      <c r="A90" s="164" t="s">
        <v>30</v>
      </c>
      <c r="B90" s="165"/>
      <c r="C90" s="165"/>
      <c r="D90" s="165"/>
      <c r="E90" s="165"/>
      <c r="F90" s="165"/>
      <c r="G90" s="165"/>
      <c r="H90" s="165"/>
      <c r="I90" s="166"/>
      <c r="J90" s="98">
        <f t="shared" si="2"/>
        <v>0</v>
      </c>
      <c r="K90" s="110"/>
      <c r="L90" s="174"/>
      <c r="M90" s="110"/>
      <c r="N90" s="110"/>
      <c r="O90" s="71" t="s">
        <v>120</v>
      </c>
    </row>
    <row r="91" spans="1:15">
      <c r="A91" s="105" t="s">
        <v>182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58" t="s">
        <v>48</v>
      </c>
      <c r="B93" s="158"/>
      <c r="C93" s="158"/>
      <c r="D93" s="161" t="s">
        <v>49</v>
      </c>
      <c r="E93" s="161"/>
      <c r="F93" s="10" t="s">
        <v>50</v>
      </c>
      <c r="G93" s="158" t="s">
        <v>51</v>
      </c>
      <c r="H93" s="158"/>
      <c r="I93" s="158"/>
      <c r="J93" s="158"/>
      <c r="K93" s="110"/>
      <c r="L93" s="110"/>
      <c r="M93" s="110"/>
      <c r="N93" s="110"/>
    </row>
    <row r="94" spans="1:15" outlineLevel="1">
      <c r="A94" s="162" t="str">
        <f>IF(VLOOKUP("эл",АО,3,FALSE)&gt;0,"Электроснабжение",0)</f>
        <v>Электроснабжение</v>
      </c>
      <c r="B94" s="162"/>
      <c r="C94" s="162"/>
      <c r="D94" s="160" t="str">
        <f>IF(VLOOKUP("эл",АО,3,FALSE)&gt;0,VLOOKUP("эл",АО,3,FALSE),0)</f>
        <v>Предоставляется</v>
      </c>
      <c r="E94" s="160"/>
      <c r="F94" s="13" t="str">
        <f>IF(VLOOKUP("эл",АО,3,FALSE)&gt;0,VLOOKUP("эл",АО,4,FALSE),0)</f>
        <v>кВт*ч</v>
      </c>
      <c r="G94" s="159">
        <f>VLOOKUP("эл",АО,5,FALSE)</f>
        <v>179539.45</v>
      </c>
      <c r="H94" s="160"/>
      <c r="I94" s="160"/>
      <c r="J94" s="160"/>
      <c r="K94" s="1" t="str">
        <f>VLOOKUP("эл",АО,2,FALSE)</f>
        <v>Электроснабжение</v>
      </c>
      <c r="L94" s="175"/>
    </row>
    <row r="95" spans="1:15" outlineLevel="2">
      <c r="A95" s="163" t="str">
        <f>IF(VLOOKUP("эл",АО,3,FALSE)&gt;0,VLOOKUP("эл1",АО,2,FALSE),0)</f>
        <v>Общий объем потребления, нат. показ.</v>
      </c>
      <c r="B95" s="163"/>
      <c r="C95" s="163"/>
      <c r="D95" s="163"/>
      <c r="E95" s="163"/>
      <c r="F95" s="163"/>
      <c r="G95" s="163"/>
      <c r="H95" s="163"/>
      <c r="I95" s="163"/>
      <c r="J95" s="18">
        <f t="shared" ref="J95:J101" si="3">VLOOKUP(O95,АО,3,FALSE)</f>
        <v>163962.97</v>
      </c>
      <c r="L95" s="175"/>
      <c r="O95" s="1" t="s">
        <v>121</v>
      </c>
    </row>
    <row r="96" spans="1:15" outlineLevel="2">
      <c r="A96" s="163" t="str">
        <f>IF(VLOOKUP("эл",АО,3,FALSE)&gt;0,VLOOKUP("эл2",АО,2,FALSE),0)</f>
        <v>Оплачено потребителями, руб.</v>
      </c>
      <c r="B96" s="163"/>
      <c r="C96" s="163"/>
      <c r="D96" s="163"/>
      <c r="E96" s="163"/>
      <c r="F96" s="163"/>
      <c r="G96" s="163"/>
      <c r="H96" s="163"/>
      <c r="I96" s="163"/>
      <c r="J96" s="18">
        <f t="shared" si="3"/>
        <v>228365.76</v>
      </c>
      <c r="L96" s="175"/>
      <c r="O96" s="1" t="s">
        <v>122</v>
      </c>
    </row>
    <row r="97" spans="1:15" outlineLevel="2">
      <c r="A97" s="163" t="str">
        <f>IF(VLOOKUP("эл",АО,3,FALSE)&gt;0,VLOOKUP("эл3",АО,2,FALSE),0)</f>
        <v>Задолженность потребителей, руб.</v>
      </c>
      <c r="B97" s="163"/>
      <c r="C97" s="163"/>
      <c r="D97" s="163"/>
      <c r="E97" s="163"/>
      <c r="F97" s="163"/>
      <c r="G97" s="163"/>
      <c r="H97" s="163"/>
      <c r="I97" s="163"/>
      <c r="J97" s="18">
        <f t="shared" si="3"/>
        <v>0</v>
      </c>
      <c r="L97" s="175"/>
      <c r="O97" s="1" t="s">
        <v>123</v>
      </c>
    </row>
    <row r="98" spans="1:15" ht="37.5" customHeight="1" outlineLevel="2">
      <c r="A98" s="163" t="str">
        <f>IF(VLOOKUP("эл",АО,3,FALSE)&gt;0,VLOOKUP("эл4",АО,2,FALSE),0)</f>
        <v>Начислено поставщиком (поставщиками) коммунального ресурса, руб.</v>
      </c>
      <c r="B98" s="163"/>
      <c r="C98" s="163"/>
      <c r="D98" s="163"/>
      <c r="E98" s="163"/>
      <c r="F98" s="163"/>
      <c r="G98" s="163"/>
      <c r="H98" s="163"/>
      <c r="I98" s="163"/>
      <c r="J98" s="18">
        <f t="shared" si="3"/>
        <v>179539.45</v>
      </c>
      <c r="L98" s="175"/>
      <c r="O98" s="1" t="s">
        <v>124</v>
      </c>
    </row>
    <row r="99" spans="1:15" outlineLevel="2">
      <c r="A99" s="163" t="str">
        <f>IF(VLOOKUP("эл",АО,3,FALSE)&gt;0,VLOOKUP("эл5",АО,2,FALSE),0)</f>
        <v>Оплачено поставщику (поставщикам) коммунального ресурса, руб.</v>
      </c>
      <c r="B99" s="163"/>
      <c r="C99" s="163"/>
      <c r="D99" s="163"/>
      <c r="E99" s="163"/>
      <c r="F99" s="163"/>
      <c r="G99" s="163"/>
      <c r="H99" s="163"/>
      <c r="I99" s="163"/>
      <c r="J99" s="18">
        <f t="shared" si="3"/>
        <v>179539.45</v>
      </c>
      <c r="L99" s="175"/>
      <c r="O99" s="1" t="s">
        <v>125</v>
      </c>
    </row>
    <row r="100" spans="1:15" ht="39" customHeight="1" outlineLevel="2">
      <c r="A100" s="16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3"/>
      <c r="C100" s="163"/>
      <c r="D100" s="163"/>
      <c r="E100" s="163"/>
      <c r="F100" s="163"/>
      <c r="G100" s="163"/>
      <c r="H100" s="163"/>
      <c r="I100" s="163"/>
      <c r="J100" s="18">
        <f t="shared" si="3"/>
        <v>0</v>
      </c>
      <c r="L100" s="175"/>
      <c r="O100" s="1" t="s">
        <v>126</v>
      </c>
    </row>
    <row r="101" spans="1:15" ht="34.5" customHeight="1" outlineLevel="2">
      <c r="A101" s="16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3"/>
      <c r="C101" s="163"/>
      <c r="D101" s="163"/>
      <c r="E101" s="163"/>
      <c r="F101" s="163"/>
      <c r="G101" s="163"/>
      <c r="H101" s="163"/>
      <c r="I101" s="163"/>
      <c r="J101" s="18">
        <f t="shared" si="3"/>
        <v>0</v>
      </c>
      <c r="L101" s="175"/>
      <c r="O101" s="1" t="s">
        <v>127</v>
      </c>
    </row>
    <row r="102" spans="1:15" ht="28.5" customHeight="1" outlineLevel="1">
      <c r="A102" s="162" t="str">
        <f>IF(VLOOKUP("хвс",АО,3,FALSE)&gt;0,"Холодное водоснабжение",0)</f>
        <v>Холодное водоснабжение</v>
      </c>
      <c r="B102" s="162"/>
      <c r="C102" s="162"/>
      <c r="D102" s="160" t="str">
        <f>IF(VLOOKUP("хвс",АО,3,FALSE)&gt;0,VLOOKUP("хвс",АО,3,FALSE),0)</f>
        <v>Предоставляется</v>
      </c>
      <c r="E102" s="160"/>
      <c r="F102" s="13" t="str">
        <f>IF(VLOOKUP("хвс",АО,3,FALSE)&gt;0,VLOOKUP("хвс",АО,4,FALSE),0)</f>
        <v>куб.м.</v>
      </c>
      <c r="G102" s="159">
        <f>VLOOKUP("хвс",АО,5,FALSE)</f>
        <v>69412.05</v>
      </c>
      <c r="H102" s="160"/>
      <c r="I102" s="160"/>
      <c r="J102" s="160"/>
      <c r="L102" s="175"/>
    </row>
    <row r="103" spans="1:15" outlineLevel="2">
      <c r="A103" s="163" t="str">
        <f t="shared" ref="A103:A109" si="4">IF(VLOOKUP("хвс",АО,3,FALSE)&gt;0,VLOOKUP(O103,АО,2,FALSE),0)</f>
        <v>Общий объем потребления, нат. показ.</v>
      </c>
      <c r="B103" s="163"/>
      <c r="C103" s="163"/>
      <c r="D103" s="163"/>
      <c r="E103" s="163"/>
      <c r="F103" s="163"/>
      <c r="G103" s="163"/>
      <c r="H103" s="163"/>
      <c r="I103" s="163"/>
      <c r="J103" s="18">
        <f t="shared" ref="J103:J109" si="5">VLOOKUP(O103,АО,3,FALSE)</f>
        <v>4984.71</v>
      </c>
      <c r="L103" s="175"/>
      <c r="O103" s="1" t="s">
        <v>130</v>
      </c>
    </row>
    <row r="104" spans="1:15" ht="18.75" customHeight="1" outlineLevel="2">
      <c r="A104" s="163" t="str">
        <f t="shared" si="4"/>
        <v>Оплачено потребителями, руб.</v>
      </c>
      <c r="B104" s="163"/>
      <c r="C104" s="163"/>
      <c r="D104" s="163"/>
      <c r="E104" s="163"/>
      <c r="F104" s="163"/>
      <c r="G104" s="163"/>
      <c r="H104" s="163"/>
      <c r="I104" s="163"/>
      <c r="J104" s="18">
        <f t="shared" si="5"/>
        <v>88126.35</v>
      </c>
      <c r="L104" s="175"/>
      <c r="O104" s="1" t="s">
        <v>131</v>
      </c>
    </row>
    <row r="105" spans="1:15" ht="18.75" customHeight="1" outlineLevel="2">
      <c r="A105" s="163" t="str">
        <f t="shared" si="4"/>
        <v>Задолженность потребителей, руб.</v>
      </c>
      <c r="B105" s="163"/>
      <c r="C105" s="163"/>
      <c r="D105" s="163"/>
      <c r="E105" s="163"/>
      <c r="F105" s="163"/>
      <c r="G105" s="163"/>
      <c r="H105" s="163"/>
      <c r="I105" s="163"/>
      <c r="J105" s="18">
        <f t="shared" si="5"/>
        <v>0</v>
      </c>
      <c r="L105" s="175"/>
      <c r="O105" s="1" t="s">
        <v>132</v>
      </c>
    </row>
    <row r="106" spans="1:15" ht="36.75" customHeight="1" outlineLevel="2">
      <c r="A106" s="163" t="str">
        <f t="shared" si="4"/>
        <v>Начислено поставщиком (поставщиками) коммунального ресурса, руб.</v>
      </c>
      <c r="B106" s="163"/>
      <c r="C106" s="163"/>
      <c r="D106" s="163"/>
      <c r="E106" s="163"/>
      <c r="F106" s="163"/>
      <c r="G106" s="163"/>
      <c r="H106" s="163"/>
      <c r="I106" s="163"/>
      <c r="J106" s="18">
        <f t="shared" si="5"/>
        <v>69412.05</v>
      </c>
      <c r="L106" s="175"/>
      <c r="O106" s="1" t="s">
        <v>133</v>
      </c>
    </row>
    <row r="107" spans="1:15" ht="18.75" customHeight="1" outlineLevel="2">
      <c r="A107" s="163" t="str">
        <f t="shared" si="4"/>
        <v>Оплачено поставщику (поставщикам) коммунального ресурса, руб.</v>
      </c>
      <c r="B107" s="163"/>
      <c r="C107" s="163"/>
      <c r="D107" s="163"/>
      <c r="E107" s="163"/>
      <c r="F107" s="163"/>
      <c r="G107" s="163"/>
      <c r="H107" s="163"/>
      <c r="I107" s="163"/>
      <c r="J107" s="18">
        <f t="shared" si="5"/>
        <v>69412.05</v>
      </c>
      <c r="L107" s="175"/>
      <c r="O107" s="1" t="s">
        <v>134</v>
      </c>
    </row>
    <row r="108" spans="1:15" ht="37.5" customHeight="1" outlineLevel="2">
      <c r="A108" s="163" t="str">
        <f t="shared" si="4"/>
        <v>Задолженность перед поставщиком (поставщиками) коммунального ресурса, руб.</v>
      </c>
      <c r="B108" s="163"/>
      <c r="C108" s="163"/>
      <c r="D108" s="163"/>
      <c r="E108" s="163"/>
      <c r="F108" s="163"/>
      <c r="G108" s="163"/>
      <c r="H108" s="163"/>
      <c r="I108" s="163"/>
      <c r="J108" s="18">
        <f t="shared" si="5"/>
        <v>0</v>
      </c>
      <c r="L108" s="175"/>
      <c r="O108" s="1" t="s">
        <v>135</v>
      </c>
    </row>
    <row r="109" spans="1:15" ht="39.75" customHeight="1" outlineLevel="2">
      <c r="A109" s="163" t="str">
        <f t="shared" si="4"/>
        <v>Размер пени и штрафов, уплаченных поставщику (поставщикам) коммунального ресурса, руб.</v>
      </c>
      <c r="B109" s="163"/>
      <c r="C109" s="163"/>
      <c r="D109" s="163"/>
      <c r="E109" s="163"/>
      <c r="F109" s="163"/>
      <c r="G109" s="163"/>
      <c r="H109" s="163"/>
      <c r="I109" s="163"/>
      <c r="J109" s="18">
        <f t="shared" si="5"/>
        <v>0</v>
      </c>
      <c r="L109" s="175"/>
      <c r="O109" s="1" t="s">
        <v>136</v>
      </c>
    </row>
    <row r="110" spans="1:15" ht="27" customHeight="1" outlineLevel="1">
      <c r="A110" s="162" t="str">
        <f>IF(VLOOKUP("воо",АО,3,FALSE)&gt;0,"Водоотведение",0)</f>
        <v>Водоотведение</v>
      </c>
      <c r="B110" s="162"/>
      <c r="C110" s="162"/>
      <c r="D110" s="160" t="str">
        <f>IF(VLOOKUP("воо",АО,3,FALSE)&gt;0,VLOOKUP("воо",АО,3,FALSE),0)</f>
        <v>Предоставляется</v>
      </c>
      <c r="E110" s="160"/>
      <c r="F110" s="13" t="str">
        <f>IF(VLOOKUP("воо",АО,3,FALSE)&gt;0,VLOOKUP("воо",АО,4,FALSE),0)</f>
        <v>куб.м.</v>
      </c>
      <c r="G110" s="159">
        <f>VLOOKUP("воо",АО,5,FALSE)</f>
        <v>119524.31</v>
      </c>
      <c r="H110" s="160"/>
      <c r="I110" s="160"/>
      <c r="J110" s="160"/>
      <c r="L110" s="175"/>
    </row>
    <row r="111" spans="1:15" outlineLevel="2">
      <c r="A111" s="157" t="str">
        <f t="shared" ref="A111:A117" si="6">IF(VLOOKUP("воо",АО,3,FALSE)&gt;0,VLOOKUP(O111,АО,2,FALSE),0)</f>
        <v>Общий объем потребления, нат. показ.</v>
      </c>
      <c r="B111" s="157"/>
      <c r="C111" s="157"/>
      <c r="D111" s="157"/>
      <c r="E111" s="157"/>
      <c r="F111" s="157"/>
      <c r="G111" s="157"/>
      <c r="H111" s="157"/>
      <c r="I111" s="157"/>
      <c r="J111" s="18">
        <f t="shared" ref="J111:J117" si="7">VLOOKUP(O111,АО,3,FALSE)</f>
        <v>8011.01</v>
      </c>
      <c r="L111" s="175"/>
      <c r="O111" s="1" t="s">
        <v>138</v>
      </c>
    </row>
    <row r="112" spans="1:15" ht="18.75" customHeight="1" outlineLevel="2">
      <c r="A112" s="157" t="str">
        <f t="shared" si="6"/>
        <v>Оплачено потребителями, руб.</v>
      </c>
      <c r="B112" s="157"/>
      <c r="C112" s="157"/>
      <c r="D112" s="157"/>
      <c r="E112" s="157"/>
      <c r="F112" s="157"/>
      <c r="G112" s="157"/>
      <c r="H112" s="157"/>
      <c r="I112" s="157"/>
      <c r="J112" s="18">
        <f t="shared" si="7"/>
        <v>153222.01999999999</v>
      </c>
      <c r="L112" s="175"/>
      <c r="O112" s="1" t="s">
        <v>139</v>
      </c>
    </row>
    <row r="113" spans="1:15" ht="19.5" customHeight="1" outlineLevel="2">
      <c r="A113" s="157" t="str">
        <f t="shared" si="6"/>
        <v>Задолженность потребителей, руб.</v>
      </c>
      <c r="B113" s="157"/>
      <c r="C113" s="157"/>
      <c r="D113" s="157"/>
      <c r="E113" s="157"/>
      <c r="F113" s="157"/>
      <c r="G113" s="157"/>
      <c r="H113" s="157"/>
      <c r="I113" s="157"/>
      <c r="J113" s="18">
        <f t="shared" si="7"/>
        <v>0</v>
      </c>
      <c r="L113" s="175"/>
      <c r="O113" s="1" t="s">
        <v>140</v>
      </c>
    </row>
    <row r="114" spans="1:15" ht="33" customHeight="1" outlineLevel="2">
      <c r="A114" s="157" t="str">
        <f t="shared" si="6"/>
        <v>Начислено поставщиком (поставщиками) коммунального ресурса, руб.</v>
      </c>
      <c r="B114" s="157"/>
      <c r="C114" s="157"/>
      <c r="D114" s="157"/>
      <c r="E114" s="157"/>
      <c r="F114" s="157"/>
      <c r="G114" s="157"/>
      <c r="H114" s="157"/>
      <c r="I114" s="157"/>
      <c r="J114" s="18">
        <f t="shared" si="7"/>
        <v>119524.31</v>
      </c>
      <c r="L114" s="175"/>
      <c r="O114" s="1" t="s">
        <v>141</v>
      </c>
    </row>
    <row r="115" spans="1:15" ht="18.75" customHeight="1" outlineLevel="2">
      <c r="A115" s="157" t="str">
        <f t="shared" si="6"/>
        <v>Оплачено поставщику (поставщикам) коммунального ресурса, руб.</v>
      </c>
      <c r="B115" s="157"/>
      <c r="C115" s="157"/>
      <c r="D115" s="157"/>
      <c r="E115" s="157"/>
      <c r="F115" s="157"/>
      <c r="G115" s="157"/>
      <c r="H115" s="157"/>
      <c r="I115" s="157"/>
      <c r="J115" s="18">
        <f t="shared" si="7"/>
        <v>119524.31</v>
      </c>
      <c r="L115" s="175"/>
      <c r="O115" s="1" t="s">
        <v>142</v>
      </c>
    </row>
    <row r="116" spans="1:15" ht="33.75" customHeight="1" outlineLevel="2">
      <c r="A116" s="157" t="str">
        <f t="shared" si="6"/>
        <v>Задолженность перед поставщиком (поставщиками) коммунального ресурса, руб.</v>
      </c>
      <c r="B116" s="157"/>
      <c r="C116" s="157"/>
      <c r="D116" s="157"/>
      <c r="E116" s="157"/>
      <c r="F116" s="157"/>
      <c r="G116" s="157"/>
      <c r="H116" s="157"/>
      <c r="I116" s="157"/>
      <c r="J116" s="18">
        <f t="shared" si="7"/>
        <v>0</v>
      </c>
      <c r="L116" s="175"/>
      <c r="O116" s="1" t="s">
        <v>143</v>
      </c>
    </row>
    <row r="117" spans="1:15" ht="32.25" customHeight="1" outlineLevel="2">
      <c r="A117" s="157" t="str">
        <f t="shared" si="6"/>
        <v>Размер пени и штрафов, уплаченных поставщику (поставщикам) коммунального ресурса, руб.</v>
      </c>
      <c r="B117" s="157"/>
      <c r="C117" s="157"/>
      <c r="D117" s="157"/>
      <c r="E117" s="157"/>
      <c r="F117" s="157"/>
      <c r="G117" s="157"/>
      <c r="H117" s="157"/>
      <c r="I117" s="157"/>
      <c r="J117" s="18">
        <f t="shared" si="7"/>
        <v>0</v>
      </c>
      <c r="L117" s="175"/>
      <c r="O117" s="1" t="s">
        <v>144</v>
      </c>
    </row>
    <row r="118" spans="1:15" ht="32.25" customHeight="1" outlineLevel="1">
      <c r="A118" s="162" t="str">
        <f>IF(VLOOKUP("тко",АО,3,FALSE)&gt;0,"Обращение с ТКО",0)</f>
        <v>Обращение с ТКО</v>
      </c>
      <c r="B118" s="162"/>
      <c r="C118" s="162"/>
      <c r="D118" s="160" t="str">
        <f>IF(VLOOKUP("тко",АО,3,FALSE)&gt;0,VLOOKUP("тко",АО,3,FALSE),0)</f>
        <v>Предоставляется</v>
      </c>
      <c r="E118" s="160"/>
      <c r="F118" s="13" t="str">
        <f>IF(VLOOKUP("тко",АО,3,FALSE)&gt;0,VLOOKUP("тко",АО,4,FALSE),0)</f>
        <v>куб.м.</v>
      </c>
      <c r="G118" s="159">
        <f>VLOOKUP("тко",АО,5,FALSE)</f>
        <v>124491.99</v>
      </c>
      <c r="H118" s="160"/>
      <c r="I118" s="160"/>
      <c r="J118" s="160"/>
      <c r="L118" s="48"/>
    </row>
    <row r="119" spans="1:15" ht="32.25" customHeight="1" outlineLevel="2">
      <c r="A119" s="157" t="str">
        <f t="shared" ref="A119:A125" si="8">IF(VLOOKUP("тко",АО,3,FALSE)&gt;0,VLOOKUP(O119,АО,2,FALSE),0)</f>
        <v>Общий объем потребления, нат. показ.</v>
      </c>
      <c r="B119" s="157"/>
      <c r="C119" s="157"/>
      <c r="D119" s="157"/>
      <c r="E119" s="157"/>
      <c r="F119" s="157"/>
      <c r="G119" s="157"/>
      <c r="H119" s="157"/>
      <c r="I119" s="157"/>
      <c r="J119" s="18">
        <f t="shared" ref="J119:J125" si="9">VLOOKUP(O119,АО,3,FALSE)</f>
        <v>230.4</v>
      </c>
      <c r="L119" s="48"/>
      <c r="O119" s="1" t="s">
        <v>146</v>
      </c>
    </row>
    <row r="120" spans="1:15" ht="32.25" customHeight="1" outlineLevel="2">
      <c r="A120" s="157" t="str">
        <f t="shared" si="8"/>
        <v>Оплачено потребителями, руб.</v>
      </c>
      <c r="B120" s="157"/>
      <c r="C120" s="157"/>
      <c r="D120" s="157"/>
      <c r="E120" s="157"/>
      <c r="F120" s="157"/>
      <c r="G120" s="157"/>
      <c r="H120" s="157"/>
      <c r="I120" s="157"/>
      <c r="J120" s="18">
        <f t="shared" si="9"/>
        <v>106434.48</v>
      </c>
      <c r="L120" s="48"/>
      <c r="O120" s="1" t="s">
        <v>147</v>
      </c>
    </row>
    <row r="121" spans="1:15" ht="32.25" customHeight="1" outlineLevel="2">
      <c r="A121" s="157" t="str">
        <f t="shared" si="8"/>
        <v>Задолженность потребителей, руб.</v>
      </c>
      <c r="B121" s="157"/>
      <c r="C121" s="157"/>
      <c r="D121" s="157"/>
      <c r="E121" s="157"/>
      <c r="F121" s="157"/>
      <c r="G121" s="157"/>
      <c r="H121" s="157"/>
      <c r="I121" s="157"/>
      <c r="J121" s="18">
        <f t="shared" si="9"/>
        <v>18057.510000000009</v>
      </c>
      <c r="L121" s="48"/>
      <c r="O121" s="1" t="s">
        <v>148</v>
      </c>
    </row>
    <row r="122" spans="1:15" ht="32.25" customHeight="1" outlineLevel="2">
      <c r="A122" s="157" t="str">
        <f t="shared" si="8"/>
        <v>Начислено поставщиком (поставщиками) коммунального ресурса, руб.</v>
      </c>
      <c r="B122" s="157"/>
      <c r="C122" s="157"/>
      <c r="D122" s="157"/>
      <c r="E122" s="157"/>
      <c r="F122" s="157"/>
      <c r="G122" s="157"/>
      <c r="H122" s="157"/>
      <c r="I122" s="157"/>
      <c r="J122" s="18">
        <f t="shared" si="9"/>
        <v>124491.99</v>
      </c>
      <c r="L122" s="48"/>
      <c r="O122" s="1" t="s">
        <v>149</v>
      </c>
    </row>
    <row r="123" spans="1:15" ht="32.25" customHeight="1" outlineLevel="2">
      <c r="A123" s="157" t="str">
        <f t="shared" si="8"/>
        <v>Оплачено поставщику (поставщикам) коммунального ресурса, руб.</v>
      </c>
      <c r="B123" s="157"/>
      <c r="C123" s="157"/>
      <c r="D123" s="157"/>
      <c r="E123" s="157"/>
      <c r="F123" s="157"/>
      <c r="G123" s="157"/>
      <c r="H123" s="157"/>
      <c r="I123" s="157"/>
      <c r="J123" s="18">
        <f t="shared" si="9"/>
        <v>124491.99</v>
      </c>
      <c r="L123" s="48"/>
      <c r="O123" s="1" t="s">
        <v>150</v>
      </c>
    </row>
    <row r="124" spans="1:15" ht="32.25" customHeight="1" outlineLevel="2">
      <c r="A124" s="157" t="str">
        <f t="shared" si="8"/>
        <v>Задолженность перед поставщиком (поставщиками) коммунального ресурса, руб.</v>
      </c>
      <c r="B124" s="157"/>
      <c r="C124" s="157"/>
      <c r="D124" s="157"/>
      <c r="E124" s="157"/>
      <c r="F124" s="157"/>
      <c r="G124" s="157"/>
      <c r="H124" s="157"/>
      <c r="I124" s="157"/>
      <c r="J124" s="18">
        <f t="shared" si="9"/>
        <v>0</v>
      </c>
      <c r="L124" s="48"/>
      <c r="O124" s="1" t="s">
        <v>151</v>
      </c>
    </row>
    <row r="125" spans="1:15" ht="32.25" customHeight="1" outlineLevel="2">
      <c r="A125" s="157" t="str">
        <f t="shared" si="8"/>
        <v>Размер пени и штрафов, уплаченных поставщику (поставщикам) коммунального ресурса, руб.</v>
      </c>
      <c r="B125" s="157"/>
      <c r="C125" s="157"/>
      <c r="D125" s="157"/>
      <c r="E125" s="157"/>
      <c r="F125" s="157"/>
      <c r="G125" s="157"/>
      <c r="H125" s="157"/>
      <c r="I125" s="157"/>
      <c r="J125" s="18">
        <f t="shared" si="9"/>
        <v>0</v>
      </c>
      <c r="L125" s="48"/>
      <c r="O125" s="1" t="s">
        <v>152</v>
      </c>
    </row>
    <row r="126" spans="1:15" ht="32.25" customHeight="1" outlineLevel="1">
      <c r="A126" s="162" t="str">
        <f>IF(VLOOKUP("гвс",АО,3,FALSE)&gt;0,"Горячее водоснабжение",0)</f>
        <v>Горячее водоснабжение</v>
      </c>
      <c r="B126" s="162"/>
      <c r="C126" s="162"/>
      <c r="D126" s="160" t="str">
        <f>IF(VLOOKUP("гвс",АО,3,FALSE)&gt;0,VLOOKUP("гвс",АО,3,FALSE),0)</f>
        <v>Предоставляется</v>
      </c>
      <c r="E126" s="160"/>
      <c r="F126" s="13" t="str">
        <f>IF(VLOOKUP("гвс",АО,3,FALSE)&gt;0,VLOOKUP("гвс",АО,4,FALSE),0)</f>
        <v>куб.м.</v>
      </c>
      <c r="G126" s="159">
        <f>VLOOKUP("гвс",АО,5,FALSE)</f>
        <v>41257</v>
      </c>
      <c r="H126" s="160"/>
      <c r="I126" s="160"/>
      <c r="J126" s="160"/>
      <c r="L126" s="48"/>
    </row>
    <row r="127" spans="1:15" ht="32.25" customHeight="1" outlineLevel="2">
      <c r="A127" s="157" t="str">
        <f t="shared" ref="A127:A133" si="10">IF(VLOOKUP("гвс",АО,3,FALSE)&gt;0,VLOOKUP(O127,АО,2,FALSE),0)</f>
        <v>Общий объем потребления, нат. показ.</v>
      </c>
      <c r="B127" s="157"/>
      <c r="C127" s="157"/>
      <c r="D127" s="157"/>
      <c r="E127" s="157"/>
      <c r="F127" s="157"/>
      <c r="G127" s="157"/>
      <c r="H127" s="157"/>
      <c r="I127" s="157"/>
      <c r="J127" s="18">
        <f t="shared" ref="J127:J133" si="11">VLOOKUP(O127,АО,3,FALSE)</f>
        <v>2962.8</v>
      </c>
      <c r="L127" s="48"/>
      <c r="O127" s="1" t="s">
        <v>154</v>
      </c>
    </row>
    <row r="128" spans="1:15" ht="32.25" customHeight="1" outlineLevel="2">
      <c r="A128" s="157" t="str">
        <f t="shared" si="10"/>
        <v>Оплачено потребителями, руб.</v>
      </c>
      <c r="B128" s="157"/>
      <c r="C128" s="157"/>
      <c r="D128" s="157"/>
      <c r="E128" s="157"/>
      <c r="F128" s="157"/>
      <c r="G128" s="157"/>
      <c r="H128" s="157"/>
      <c r="I128" s="157"/>
      <c r="J128" s="18">
        <f t="shared" si="11"/>
        <v>58568.29</v>
      </c>
      <c r="L128" s="48"/>
      <c r="O128" s="1" t="s">
        <v>155</v>
      </c>
    </row>
    <row r="129" spans="1:15" ht="32.25" customHeight="1" outlineLevel="2">
      <c r="A129" s="157" t="str">
        <f t="shared" si="10"/>
        <v>Задолженность потребителей, руб.</v>
      </c>
      <c r="B129" s="157"/>
      <c r="C129" s="157"/>
      <c r="D129" s="157"/>
      <c r="E129" s="157"/>
      <c r="F129" s="157"/>
      <c r="G129" s="157"/>
      <c r="H129" s="157"/>
      <c r="I129" s="157"/>
      <c r="J129" s="18">
        <f t="shared" si="11"/>
        <v>0</v>
      </c>
      <c r="L129" s="48"/>
      <c r="O129" s="1" t="s">
        <v>156</v>
      </c>
    </row>
    <row r="130" spans="1:15" ht="32.25" customHeight="1" outlineLevel="2">
      <c r="A130" s="157" t="str">
        <f t="shared" si="10"/>
        <v>Начислено поставщиком (поставщиками) коммунального ресурса, руб.</v>
      </c>
      <c r="B130" s="157"/>
      <c r="C130" s="157"/>
      <c r="D130" s="157"/>
      <c r="E130" s="157"/>
      <c r="F130" s="157"/>
      <c r="G130" s="157"/>
      <c r="H130" s="157"/>
      <c r="I130" s="157"/>
      <c r="J130" s="18">
        <f t="shared" si="11"/>
        <v>41257</v>
      </c>
      <c r="L130" s="48"/>
      <c r="O130" s="1" t="s">
        <v>157</v>
      </c>
    </row>
    <row r="131" spans="1:15" ht="32.25" customHeight="1" outlineLevel="2">
      <c r="A131" s="157" t="str">
        <f t="shared" si="10"/>
        <v>Оплачено поставщику (поставщикам) коммунального ресурса, руб.</v>
      </c>
      <c r="B131" s="157"/>
      <c r="C131" s="157"/>
      <c r="D131" s="157"/>
      <c r="E131" s="157"/>
      <c r="F131" s="157"/>
      <c r="G131" s="157"/>
      <c r="H131" s="157"/>
      <c r="I131" s="157"/>
      <c r="J131" s="18">
        <f t="shared" si="11"/>
        <v>41257</v>
      </c>
      <c r="L131" s="48"/>
      <c r="O131" s="1" t="s">
        <v>158</v>
      </c>
    </row>
    <row r="132" spans="1:15" ht="32.25" customHeight="1" outlineLevel="2">
      <c r="A132" s="157" t="str">
        <f t="shared" si="10"/>
        <v>Задолженность перед поставщиком (поставщиками) коммунального ресурса, руб.</v>
      </c>
      <c r="B132" s="157"/>
      <c r="C132" s="157"/>
      <c r="D132" s="157"/>
      <c r="E132" s="157"/>
      <c r="F132" s="157"/>
      <c r="G132" s="157"/>
      <c r="H132" s="157"/>
      <c r="I132" s="157"/>
      <c r="J132" s="18">
        <f t="shared" si="11"/>
        <v>0</v>
      </c>
      <c r="L132" s="48"/>
      <c r="O132" s="1" t="s">
        <v>159</v>
      </c>
    </row>
    <row r="133" spans="1:15" ht="32.25" customHeight="1" outlineLevel="2">
      <c r="A133" s="157" t="str">
        <f t="shared" si="10"/>
        <v>Размер пени и штрафов, уплаченных поставщику (поставщикам) коммунального ресурса, руб.</v>
      </c>
      <c r="B133" s="157"/>
      <c r="C133" s="157"/>
      <c r="D133" s="157"/>
      <c r="E133" s="157"/>
      <c r="F133" s="157"/>
      <c r="G133" s="157"/>
      <c r="H133" s="157"/>
      <c r="I133" s="157"/>
      <c r="J133" s="18">
        <f t="shared" si="11"/>
        <v>0</v>
      </c>
      <c r="L133" s="48"/>
      <c r="O133" s="1" t="s">
        <v>160</v>
      </c>
    </row>
    <row r="134" spans="1:15" ht="32.25" hidden="1" customHeight="1" outlineLevel="1">
      <c r="A134" s="162">
        <f>IF(VLOOKUP("отопление",АО,3,FALSE)&gt;0,"Отопление",0)</f>
        <v>0</v>
      </c>
      <c r="B134" s="162"/>
      <c r="C134" s="162"/>
      <c r="D134" s="160">
        <f>IF(VLOOKUP("отопление",АО,3,FALSE)&gt;0,VLOOKUP("отопление",АО,3,FALSE),0)</f>
        <v>0</v>
      </c>
      <c r="E134" s="160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60"/>
      <c r="I134" s="160"/>
      <c r="J134" s="160"/>
      <c r="L134" s="48"/>
    </row>
    <row r="135" spans="1:15" ht="32.25" hidden="1" customHeight="1" outlineLevel="2">
      <c r="A135" s="157">
        <f t="shared" ref="A135:A141" si="12">IF(VLOOKUP("отопление",АО,3,FALSE)&gt;0,VLOOKUP(O135,АО,2,FALSE),0)</f>
        <v>0</v>
      </c>
      <c r="B135" s="157"/>
      <c r="C135" s="157"/>
      <c r="D135" s="157"/>
      <c r="E135" s="157"/>
      <c r="F135" s="157"/>
      <c r="G135" s="157"/>
      <c r="H135" s="157"/>
      <c r="I135" s="157"/>
      <c r="J135" s="18">
        <f t="shared" ref="J135:J141" si="13">VLOOKUP(O135,АО,3,FALSE)</f>
        <v>0</v>
      </c>
      <c r="L135" s="48"/>
      <c r="O135" s="1" t="s">
        <v>162</v>
      </c>
    </row>
    <row r="136" spans="1:15" ht="32.25" hidden="1" customHeight="1" outlineLevel="2">
      <c r="A136" s="157">
        <f t="shared" si="12"/>
        <v>0</v>
      </c>
      <c r="B136" s="157"/>
      <c r="C136" s="157"/>
      <c r="D136" s="157"/>
      <c r="E136" s="157"/>
      <c r="F136" s="157"/>
      <c r="G136" s="157"/>
      <c r="H136" s="157"/>
      <c r="I136" s="157"/>
      <c r="J136" s="18">
        <f t="shared" si="13"/>
        <v>0</v>
      </c>
      <c r="L136" s="48"/>
      <c r="O136" s="1" t="s">
        <v>163</v>
      </c>
    </row>
    <row r="137" spans="1:15" ht="32.25" hidden="1" customHeight="1" outlineLevel="2">
      <c r="A137" s="157">
        <f t="shared" si="12"/>
        <v>0</v>
      </c>
      <c r="B137" s="157"/>
      <c r="C137" s="157"/>
      <c r="D137" s="157"/>
      <c r="E137" s="157"/>
      <c r="F137" s="157"/>
      <c r="G137" s="157"/>
      <c r="H137" s="157"/>
      <c r="I137" s="157"/>
      <c r="J137" s="18">
        <f t="shared" si="13"/>
        <v>0</v>
      </c>
      <c r="L137" s="48"/>
      <c r="O137" s="1" t="s">
        <v>164</v>
      </c>
    </row>
    <row r="138" spans="1:15" ht="32.25" hidden="1" customHeight="1" outlineLevel="2">
      <c r="A138" s="157">
        <f t="shared" si="12"/>
        <v>0</v>
      </c>
      <c r="B138" s="157"/>
      <c r="C138" s="157"/>
      <c r="D138" s="157"/>
      <c r="E138" s="157"/>
      <c r="F138" s="157"/>
      <c r="G138" s="157"/>
      <c r="H138" s="157"/>
      <c r="I138" s="157"/>
      <c r="J138" s="18">
        <f t="shared" si="13"/>
        <v>0</v>
      </c>
      <c r="L138" s="48"/>
      <c r="O138" s="1" t="s">
        <v>165</v>
      </c>
    </row>
    <row r="139" spans="1:15" ht="32.25" hidden="1" customHeight="1" outlineLevel="2">
      <c r="A139" s="157">
        <f t="shared" si="12"/>
        <v>0</v>
      </c>
      <c r="B139" s="157"/>
      <c r="C139" s="157"/>
      <c r="D139" s="157"/>
      <c r="E139" s="157"/>
      <c r="F139" s="157"/>
      <c r="G139" s="157"/>
      <c r="H139" s="157"/>
      <c r="I139" s="157"/>
      <c r="J139" s="18">
        <f t="shared" si="13"/>
        <v>0</v>
      </c>
      <c r="L139" s="48"/>
      <c r="O139" s="1" t="s">
        <v>166</v>
      </c>
    </row>
    <row r="140" spans="1:15" ht="32.25" hidden="1" customHeight="1" outlineLevel="2">
      <c r="A140" s="157">
        <f t="shared" si="12"/>
        <v>0</v>
      </c>
      <c r="B140" s="157"/>
      <c r="C140" s="157"/>
      <c r="D140" s="157"/>
      <c r="E140" s="157"/>
      <c r="F140" s="157"/>
      <c r="G140" s="157"/>
      <c r="H140" s="157"/>
      <c r="I140" s="157"/>
      <c r="J140" s="18">
        <f t="shared" si="13"/>
        <v>0</v>
      </c>
      <c r="L140" s="48"/>
      <c r="O140" s="1" t="s">
        <v>167</v>
      </c>
    </row>
    <row r="141" spans="1:15" ht="32.25" hidden="1" customHeight="1" outlineLevel="2">
      <c r="A141" s="157">
        <f t="shared" si="12"/>
        <v>0</v>
      </c>
      <c r="B141" s="157"/>
      <c r="C141" s="157"/>
      <c r="D141" s="157"/>
      <c r="E141" s="157"/>
      <c r="F141" s="157"/>
      <c r="G141" s="157"/>
      <c r="H141" s="157"/>
      <c r="I141" s="157"/>
      <c r="J141" s="18">
        <f t="shared" si="13"/>
        <v>0</v>
      </c>
      <c r="L141" s="48"/>
      <c r="O141" s="1" t="s">
        <v>168</v>
      </c>
    </row>
    <row r="143" spans="1:15">
      <c r="A143" s="11" t="s">
        <v>44</v>
      </c>
    </row>
    <row r="144" spans="1:15" ht="18.75" customHeight="1" outlineLevel="1">
      <c r="A144" s="157" t="s">
        <v>45</v>
      </c>
      <c r="B144" s="157"/>
      <c r="C144" s="157"/>
      <c r="D144" s="157"/>
      <c r="E144" s="157"/>
      <c r="F144" s="157"/>
      <c r="G144" s="157"/>
      <c r="H144" s="157"/>
      <c r="I144" s="157"/>
      <c r="J144" s="14">
        <f>VLOOKUP(O144,юр,3,FALSE)</f>
        <v>10</v>
      </c>
      <c r="O144" t="s">
        <v>178</v>
      </c>
    </row>
    <row r="145" spans="1:15" ht="18.75" customHeight="1" outlineLevel="1">
      <c r="A145" s="157" t="s">
        <v>46</v>
      </c>
      <c r="B145" s="157"/>
      <c r="C145" s="157"/>
      <c r="D145" s="157"/>
      <c r="E145" s="157"/>
      <c r="F145" s="157"/>
      <c r="G145" s="157"/>
      <c r="H145" s="157"/>
      <c r="I145" s="157"/>
      <c r="J145" s="14">
        <f>VLOOKUP(O145,юр,3,FALSE)</f>
        <v>2</v>
      </c>
      <c r="L145" s="15"/>
      <c r="O145" t="s">
        <v>179</v>
      </c>
    </row>
    <row r="146" spans="1:15" ht="30" customHeight="1" outlineLevel="1">
      <c r="A146" s="157" t="s">
        <v>181</v>
      </c>
      <c r="B146" s="157"/>
      <c r="C146" s="157"/>
      <c r="D146" s="157"/>
      <c r="E146" s="157"/>
      <c r="F146" s="157"/>
      <c r="G146" s="157"/>
      <c r="H146" s="157"/>
      <c r="I146" s="157"/>
      <c r="J146" s="9">
        <f>VLOOKUP(O146,юр,3,FALSE)</f>
        <v>600018.6</v>
      </c>
      <c r="O146" t="s">
        <v>180</v>
      </c>
    </row>
    <row r="149" spans="1:15" ht="52.5" customHeight="1">
      <c r="A149" s="153" t="s">
        <v>186</v>
      </c>
      <c r="B149" s="153"/>
      <c r="C149" s="153"/>
      <c r="D149" s="153"/>
      <c r="E149" s="153"/>
      <c r="F149" s="153"/>
      <c r="G149" s="153"/>
      <c r="H149" s="153"/>
      <c r="I149" s="153"/>
      <c r="J149" s="153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52" t="s">
        <v>71</v>
      </c>
      <c r="B154" s="152"/>
      <c r="C154" s="152"/>
      <c r="D154" s="152"/>
      <c r="E154" s="27">
        <f>ПТО!G1</f>
        <v>23807.19</v>
      </c>
    </row>
    <row r="155" spans="1:15" ht="34.5" customHeight="1">
      <c r="A155" s="154" t="s">
        <v>72</v>
      </c>
      <c r="B155" s="154"/>
      <c r="C155" s="154"/>
      <c r="D155" s="154"/>
      <c r="E155" s="28">
        <f>J13</f>
        <v>162523.79999999999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5" t="s">
        <v>19</v>
      </c>
      <c r="B157" s="155"/>
      <c r="C157" s="155"/>
      <c r="D157" s="155"/>
      <c r="E157" s="155"/>
      <c r="F157" s="155" t="s">
        <v>20</v>
      </c>
      <c r="G157" s="155"/>
      <c r="H157" s="20" t="s">
        <v>57</v>
      </c>
      <c r="I157" s="155" t="s">
        <v>21</v>
      </c>
      <c r="J157" s="155"/>
    </row>
    <row r="158" spans="1:15" ht="29.25" customHeight="1">
      <c r="A158" s="149" t="str">
        <f t="shared" ref="A158:A163" si="14">IF(N158&gt;0,N158,0)</f>
        <v>Техническое освидетельствование лифта.</v>
      </c>
      <c r="B158" s="149"/>
      <c r="C158" s="149"/>
      <c r="D158" s="149"/>
      <c r="E158" s="149"/>
      <c r="F158" s="150">
        <f t="shared" ref="F158:F163" si="15">IF(ISERROR(VLOOKUP(A158,$A$28:$J$72,6,FALSE)),0,VLOOKUP(A158,$A$28:$J$72,6,FALSE))</f>
        <v>8100</v>
      </c>
      <c r="G158" s="150"/>
      <c r="H158" s="24" t="str">
        <f t="shared" ref="H158:H187" si="16">VLOOKUP(A158,$A$28:$J$72,8,FALSE)</f>
        <v>ежегодно</v>
      </c>
      <c r="I158" s="151">
        <f t="shared" ref="I158:I161" si="17">VLOOKUP(A158,$A$28:$J$72,9,FALSE)</f>
        <v>1</v>
      </c>
      <c r="J158" s="151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9" t="str">
        <f t="shared" si="14"/>
        <v>Замена АКБ для лифта.</v>
      </c>
      <c r="B159" s="149"/>
      <c r="C159" s="149"/>
      <c r="D159" s="149"/>
      <c r="E159" s="149"/>
      <c r="F159" s="150">
        <f t="shared" si="15"/>
        <v>1450</v>
      </c>
      <c r="G159" s="150"/>
      <c r="H159" s="24" t="str">
        <f t="shared" si="16"/>
        <v>разово</v>
      </c>
      <c r="I159" s="151">
        <f t="shared" si="17"/>
        <v>1</v>
      </c>
      <c r="J159" s="151"/>
      <c r="M159" s="22" t="s">
        <v>76</v>
      </c>
      <c r="N159" s="1" t="str">
        <v>Замена АКБ для лифта.</v>
      </c>
    </row>
    <row r="160" spans="1:15" ht="28.5" customHeight="1">
      <c r="A160" s="149" t="str">
        <f t="shared" si="14"/>
        <v>Замена привода кабины лифта.</v>
      </c>
      <c r="B160" s="149"/>
      <c r="C160" s="149"/>
      <c r="D160" s="149"/>
      <c r="E160" s="149"/>
      <c r="F160" s="150">
        <f t="shared" si="15"/>
        <v>29500</v>
      </c>
      <c r="G160" s="150"/>
      <c r="H160" s="24" t="str">
        <f t="shared" si="16"/>
        <v>разово</v>
      </c>
      <c r="I160" s="151">
        <f t="shared" si="17"/>
        <v>1</v>
      </c>
      <c r="J160" s="151"/>
      <c r="M160" s="22" t="s">
        <v>76</v>
      </c>
      <c r="N160" s="1" t="str">
        <v>Замена привода кабины лифта.</v>
      </c>
    </row>
    <row r="161" spans="1:14" ht="28.5" customHeight="1">
      <c r="A161" s="149" t="str">
        <f>IF(N161&gt;0,N161,0)</f>
        <v>Приобретение бесперебойного блока питания системы видеонаблюдения.</v>
      </c>
      <c r="B161" s="149"/>
      <c r="C161" s="149"/>
      <c r="D161" s="149"/>
      <c r="E161" s="149"/>
      <c r="F161" s="150">
        <f t="shared" si="15"/>
        <v>2978</v>
      </c>
      <c r="G161" s="150"/>
      <c r="H161" s="24" t="str">
        <f t="shared" si="16"/>
        <v>разово</v>
      </c>
      <c r="I161" s="151">
        <f t="shared" si="17"/>
        <v>1</v>
      </c>
      <c r="J161" s="151"/>
      <c r="M161" s="22" t="s">
        <v>76</v>
      </c>
      <c r="N161" s="1" t="str">
        <v>Приобретение бесперебойного блока питания системы видеонаблюдения.</v>
      </c>
    </row>
    <row r="162" spans="1:14" ht="28.5" customHeight="1">
      <c r="A162" s="149" t="str">
        <f t="shared" si="14"/>
        <v>Замена счетчика электрической энергии.</v>
      </c>
      <c r="B162" s="149"/>
      <c r="C162" s="149"/>
      <c r="D162" s="149"/>
      <c r="E162" s="149"/>
      <c r="F162" s="150">
        <f t="shared" si="15"/>
        <v>2437.5</v>
      </c>
      <c r="G162" s="150"/>
      <c r="H162" s="24" t="str">
        <f t="shared" si="16"/>
        <v>разово</v>
      </c>
      <c r="I162" s="151">
        <f>VLOOKUP(A162,$A$28:$J$72,9,FALSE)</f>
        <v>1</v>
      </c>
      <c r="J162" s="151"/>
      <c r="M162" s="22" t="s">
        <v>76</v>
      </c>
      <c r="N162" s="1" t="str">
        <v>Замена счетчика электрической энергии.</v>
      </c>
    </row>
    <row r="163" spans="1:14" ht="28.5" customHeight="1">
      <c r="A163" s="149" t="str">
        <f t="shared" si="14"/>
        <v>Замена электронного блока управления вызовами лифта.</v>
      </c>
      <c r="B163" s="149"/>
      <c r="C163" s="149"/>
      <c r="D163" s="149"/>
      <c r="E163" s="149"/>
      <c r="F163" s="150">
        <f t="shared" si="15"/>
        <v>12950</v>
      </c>
      <c r="G163" s="150"/>
      <c r="H163" s="24" t="str">
        <f t="shared" si="16"/>
        <v>разово</v>
      </c>
      <c r="I163" s="151">
        <f>VLOOKUP(A163,$A$28:$J$72,9,FALSE)</f>
        <v>1</v>
      </c>
      <c r="J163" s="151"/>
      <c r="M163" s="22" t="s">
        <v>76</v>
      </c>
      <c r="N163" s="1" t="str">
        <v>Замена электронного блока управления вызовами лифта.</v>
      </c>
    </row>
    <row r="164" spans="1:14" ht="28.5" customHeight="1">
      <c r="A164" s="149" t="str">
        <f t="shared" ref="A164:A187" si="18">IF(N164&gt;0,N164,0)</f>
        <v>Приобретение 2-х цилиндрических видеокамер.</v>
      </c>
      <c r="B164" s="149"/>
      <c r="C164" s="149"/>
      <c r="D164" s="149"/>
      <c r="E164" s="149"/>
      <c r="F164" s="150">
        <f t="shared" ref="F164:F187" si="19">IF(ISERROR(VLOOKUP(A164,$A$28:$J$72,6,FALSE)),0,VLOOKUP(A164,$A$28:$J$72,6,FALSE))</f>
        <v>7472</v>
      </c>
      <c r="G164" s="150"/>
      <c r="H164" s="29" t="str">
        <f t="shared" si="16"/>
        <v>разово</v>
      </c>
      <c r="I164" s="151">
        <f t="shared" ref="I164:I187" si="20">VLOOKUP(A164,$A$28:$J$72,9,FALSE)</f>
        <v>1</v>
      </c>
      <c r="J164" s="151"/>
      <c r="M164" s="22" t="s">
        <v>76</v>
      </c>
      <c r="N164" s="1" t="str">
        <v>Приобретение 2-х цилиндрических видеокамер.</v>
      </c>
    </row>
    <row r="165" spans="1:14" ht="28.5" customHeight="1">
      <c r="A165" s="149" t="str">
        <f t="shared" si="18"/>
        <v>Приобретение и монтаж противоскользящего коврика.</v>
      </c>
      <c r="B165" s="149"/>
      <c r="C165" s="149"/>
      <c r="D165" s="149"/>
      <c r="E165" s="149"/>
      <c r="F165" s="150">
        <f t="shared" si="19"/>
        <v>7088</v>
      </c>
      <c r="G165" s="150"/>
      <c r="H165" s="29" t="str">
        <f t="shared" si="16"/>
        <v>разово</v>
      </c>
      <c r="I165" s="151">
        <f t="shared" si="20"/>
        <v>1</v>
      </c>
      <c r="J165" s="151"/>
      <c r="M165" s="22" t="s">
        <v>76</v>
      </c>
      <c r="N165" s="1" t="str">
        <v>Приобретение и монтаж противоскользящего коврика.</v>
      </c>
    </row>
    <row r="166" spans="1:14" ht="28.5" hidden="1" customHeight="1">
      <c r="A166" s="149">
        <f t="shared" si="18"/>
        <v>0</v>
      </c>
      <c r="B166" s="149"/>
      <c r="C166" s="149"/>
      <c r="D166" s="149"/>
      <c r="E166" s="149"/>
      <c r="F166" s="150">
        <f t="shared" si="19"/>
        <v>0</v>
      </c>
      <c r="G166" s="150"/>
      <c r="H166" s="29" t="e">
        <f t="shared" si="16"/>
        <v>#N/A</v>
      </c>
      <c r="I166" s="151" t="e">
        <f t="shared" si="20"/>
        <v>#N/A</v>
      </c>
      <c r="J166" s="151"/>
      <c r="M166" s="22" t="s">
        <v>76</v>
      </c>
      <c r="N166" s="1">
        <v>0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0">
        <f t="shared" si="19"/>
        <v>0</v>
      </c>
      <c r="G167" s="150"/>
      <c r="H167" s="29" t="e">
        <f t="shared" si="16"/>
        <v>#N/A</v>
      </c>
      <c r="I167" s="151" t="e">
        <f t="shared" si="20"/>
        <v>#N/A</v>
      </c>
      <c r="J167" s="151"/>
      <c r="M167" s="22" t="s">
        <v>76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0">
        <f t="shared" si="19"/>
        <v>0</v>
      </c>
      <c r="G168" s="150"/>
      <c r="H168" s="29" t="e">
        <f t="shared" si="16"/>
        <v>#N/A</v>
      </c>
      <c r="I168" s="151" t="e">
        <f t="shared" si="20"/>
        <v>#N/A</v>
      </c>
      <c r="J168" s="151"/>
      <c r="M168" s="22" t="s">
        <v>76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0">
        <f t="shared" si="19"/>
        <v>0</v>
      </c>
      <c r="G169" s="150"/>
      <c r="H169" s="29" t="e">
        <f t="shared" si="16"/>
        <v>#N/A</v>
      </c>
      <c r="I169" s="151" t="e">
        <f t="shared" si="20"/>
        <v>#N/A</v>
      </c>
      <c r="J169" s="151"/>
      <c r="M169" s="22" t="s">
        <v>76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0">
        <f t="shared" si="19"/>
        <v>0</v>
      </c>
      <c r="G170" s="150"/>
      <c r="H170" s="29" t="e">
        <f t="shared" si="16"/>
        <v>#N/A</v>
      </c>
      <c r="I170" s="151" t="e">
        <f t="shared" si="20"/>
        <v>#N/A</v>
      </c>
      <c r="J170" s="151"/>
      <c r="M170" s="22" t="s">
        <v>76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0">
        <f t="shared" si="19"/>
        <v>0</v>
      </c>
      <c r="G171" s="150"/>
      <c r="H171" s="29" t="e">
        <f t="shared" si="16"/>
        <v>#N/A</v>
      </c>
      <c r="I171" s="151" t="e">
        <f t="shared" si="20"/>
        <v>#N/A</v>
      </c>
      <c r="J171" s="151"/>
      <c r="M171" s="22" t="s">
        <v>76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0">
        <f t="shared" si="19"/>
        <v>0</v>
      </c>
      <c r="G172" s="150"/>
      <c r="H172" s="29" t="e">
        <f t="shared" si="16"/>
        <v>#N/A</v>
      </c>
      <c r="I172" s="151" t="e">
        <f t="shared" si="20"/>
        <v>#N/A</v>
      </c>
      <c r="J172" s="151"/>
      <c r="M172" s="22" t="s">
        <v>76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0">
        <f t="shared" si="19"/>
        <v>0</v>
      </c>
      <c r="G173" s="150"/>
      <c r="H173" s="29" t="e">
        <f t="shared" si="16"/>
        <v>#N/A</v>
      </c>
      <c r="I173" s="151" t="e">
        <f t="shared" si="20"/>
        <v>#N/A</v>
      </c>
      <c r="J173" s="151"/>
      <c r="M173" s="22" t="s">
        <v>76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0">
        <f t="shared" si="19"/>
        <v>0</v>
      </c>
      <c r="G174" s="150"/>
      <c r="H174" s="29" t="e">
        <f t="shared" si="16"/>
        <v>#N/A</v>
      </c>
      <c r="I174" s="151" t="e">
        <f t="shared" si="20"/>
        <v>#N/A</v>
      </c>
      <c r="J174" s="151"/>
      <c r="M174" s="22" t="s">
        <v>76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0">
        <f t="shared" si="19"/>
        <v>0</v>
      </c>
      <c r="G175" s="150"/>
      <c r="H175" s="29" t="e">
        <f t="shared" si="16"/>
        <v>#N/A</v>
      </c>
      <c r="I175" s="151" t="e">
        <f t="shared" si="20"/>
        <v>#N/A</v>
      </c>
      <c r="J175" s="151"/>
      <c r="M175" s="22" t="s">
        <v>76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0">
        <f t="shared" si="19"/>
        <v>0</v>
      </c>
      <c r="G176" s="150"/>
      <c r="H176" s="29" t="e">
        <f t="shared" si="16"/>
        <v>#N/A</v>
      </c>
      <c r="I176" s="151" t="e">
        <f t="shared" si="20"/>
        <v>#N/A</v>
      </c>
      <c r="J176" s="151"/>
      <c r="M176" s="22" t="s">
        <v>76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0">
        <f t="shared" si="19"/>
        <v>0</v>
      </c>
      <c r="G177" s="150"/>
      <c r="H177" s="29" t="e">
        <f t="shared" si="16"/>
        <v>#N/A</v>
      </c>
      <c r="I177" s="151" t="e">
        <f t="shared" si="20"/>
        <v>#N/A</v>
      </c>
      <c r="J177" s="151"/>
      <c r="M177" s="22" t="s">
        <v>76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0">
        <f t="shared" si="19"/>
        <v>0</v>
      </c>
      <c r="G178" s="150"/>
      <c r="H178" s="29" t="e">
        <f t="shared" si="16"/>
        <v>#N/A</v>
      </c>
      <c r="I178" s="151" t="e">
        <f t="shared" si="20"/>
        <v>#N/A</v>
      </c>
      <c r="J178" s="151"/>
      <c r="M178" s="22" t="s">
        <v>76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0">
        <f t="shared" si="19"/>
        <v>0</v>
      </c>
      <c r="G179" s="150"/>
      <c r="H179" s="29" t="e">
        <f t="shared" si="16"/>
        <v>#N/A</v>
      </c>
      <c r="I179" s="151" t="e">
        <f t="shared" si="20"/>
        <v>#N/A</v>
      </c>
      <c r="J179" s="151"/>
      <c r="M179" s="22" t="s">
        <v>76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0">
        <f t="shared" si="19"/>
        <v>0</v>
      </c>
      <c r="G180" s="150"/>
      <c r="H180" s="29" t="e">
        <f t="shared" si="16"/>
        <v>#N/A</v>
      </c>
      <c r="I180" s="151" t="e">
        <f t="shared" si="20"/>
        <v>#N/A</v>
      </c>
      <c r="J180" s="151"/>
      <c r="M180" s="22" t="s">
        <v>76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0">
        <f t="shared" si="19"/>
        <v>0</v>
      </c>
      <c r="G181" s="150"/>
      <c r="H181" s="29" t="e">
        <f t="shared" si="16"/>
        <v>#N/A</v>
      </c>
      <c r="I181" s="151" t="e">
        <f t="shared" si="20"/>
        <v>#N/A</v>
      </c>
      <c r="J181" s="151"/>
      <c r="M181" s="22" t="s">
        <v>76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0">
        <f t="shared" si="19"/>
        <v>0</v>
      </c>
      <c r="G182" s="150"/>
      <c r="H182" s="29" t="e">
        <f t="shared" si="16"/>
        <v>#N/A</v>
      </c>
      <c r="I182" s="151" t="e">
        <f t="shared" si="20"/>
        <v>#N/A</v>
      </c>
      <c r="J182" s="151"/>
      <c r="M182" s="22" t="s">
        <v>76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0">
        <f t="shared" si="19"/>
        <v>0</v>
      </c>
      <c r="G183" s="150"/>
      <c r="H183" s="29" t="e">
        <f t="shared" si="16"/>
        <v>#N/A</v>
      </c>
      <c r="I183" s="151" t="e">
        <f t="shared" si="20"/>
        <v>#N/A</v>
      </c>
      <c r="J183" s="151"/>
      <c r="M183" s="22" t="s">
        <v>76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0">
        <f t="shared" si="19"/>
        <v>0</v>
      </c>
      <c r="G184" s="150"/>
      <c r="H184" s="29" t="e">
        <f t="shared" si="16"/>
        <v>#N/A</v>
      </c>
      <c r="I184" s="151" t="e">
        <f t="shared" si="20"/>
        <v>#N/A</v>
      </c>
      <c r="J184" s="151"/>
      <c r="M184" s="22" t="s">
        <v>76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0">
        <f t="shared" si="19"/>
        <v>0</v>
      </c>
      <c r="G185" s="150"/>
      <c r="H185" s="29" t="e">
        <f t="shared" si="16"/>
        <v>#N/A</v>
      </c>
      <c r="I185" s="151" t="e">
        <f t="shared" si="20"/>
        <v>#N/A</v>
      </c>
      <c r="J185" s="151"/>
      <c r="M185" s="22" t="s">
        <v>76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0">
        <f t="shared" si="19"/>
        <v>0</v>
      </c>
      <c r="G186" s="150"/>
      <c r="H186" s="29" t="e">
        <f t="shared" si="16"/>
        <v>#N/A</v>
      </c>
      <c r="I186" s="151" t="e">
        <f t="shared" si="20"/>
        <v>#N/A</v>
      </c>
      <c r="J186" s="151"/>
      <c r="M186" s="22" t="s">
        <v>76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0">
        <f t="shared" si="19"/>
        <v>0</v>
      </c>
      <c r="G187" s="150"/>
      <c r="H187" s="29" t="e">
        <f t="shared" si="16"/>
        <v>#N/A</v>
      </c>
      <c r="I187" s="151" t="e">
        <f t="shared" si="20"/>
        <v>#N/A</v>
      </c>
      <c r="J187" s="151"/>
      <c r="M187" s="22" t="s">
        <v>76</v>
      </c>
      <c r="N187" s="1">
        <v>0</v>
      </c>
    </row>
    <row r="188" spans="1:14" ht="29.25" customHeight="1">
      <c r="A188" s="105" t="s">
        <v>182</v>
      </c>
    </row>
    <row r="189" spans="1:14" ht="29.25" customHeight="1">
      <c r="A189" s="105" t="s">
        <v>182</v>
      </c>
    </row>
    <row r="190" spans="1:14" ht="36.75" customHeight="1">
      <c r="A190" s="152" t="s">
        <v>73</v>
      </c>
      <c r="B190" s="152"/>
      <c r="C190" s="152"/>
      <c r="D190" s="152"/>
      <c r="E190" s="27">
        <f>SUM(F158:G187)</f>
        <v>71975.5</v>
      </c>
    </row>
    <row r="191" spans="1:14" ht="51.75" customHeight="1">
      <c r="A191" s="152" t="s">
        <v>74</v>
      </c>
      <c r="B191" s="152"/>
      <c r="C191" s="152"/>
      <c r="D191" s="152"/>
      <c r="E191" s="27">
        <f>E190+E154-E155</f>
        <v>-66741.109999999986</v>
      </c>
    </row>
    <row r="192" spans="1:14">
      <c r="A192" s="105" t="s">
        <v>182</v>
      </c>
    </row>
    <row r="193" spans="1:10" ht="62.25" customHeight="1">
      <c r="A193" s="177" t="s">
        <v>78</v>
      </c>
      <c r="B193" s="177"/>
      <c r="C193" s="177"/>
      <c r="D193" s="177"/>
      <c r="E193" s="177"/>
      <c r="F193" s="177"/>
      <c r="G193" s="177"/>
      <c r="H193" s="177"/>
      <c r="I193" s="177"/>
      <c r="J193" s="177"/>
    </row>
    <row r="194" spans="1:10">
      <c r="A194" s="176" t="str">
        <f>ПТО!F12</f>
        <v xml:space="preserve">  -  поверка (замена) манометров и термометров</v>
      </c>
      <c r="B194" s="176"/>
      <c r="C194" s="176"/>
      <c r="D194" s="176"/>
      <c r="E194" s="176"/>
      <c r="F194" s="176"/>
      <c r="G194" s="176"/>
      <c r="H194" s="50">
        <f>ПТО!G12</f>
        <v>1200</v>
      </c>
      <c r="I194" s="51" t="s">
        <v>80</v>
      </c>
    </row>
    <row r="195" spans="1:10" ht="18.75" customHeight="1">
      <c r="A195" s="176" t="str">
        <f>ПТО!F13</f>
        <v xml:space="preserve">  -  техническое освидетельствование лифта</v>
      </c>
      <c r="B195" s="176"/>
      <c r="C195" s="176"/>
      <c r="D195" s="176"/>
      <c r="E195" s="176"/>
      <c r="F195" s="176"/>
      <c r="G195" s="176"/>
      <c r="H195" s="50">
        <f>ПТО!G13</f>
        <v>8100</v>
      </c>
      <c r="I195" s="51" t="s">
        <v>80</v>
      </c>
    </row>
    <row r="196" spans="1:10" ht="18.75" customHeight="1">
      <c r="A196" s="176" t="str">
        <f>ПТО!F14</f>
        <v xml:space="preserve">  -  обслуживание ТП и кабельных линий</v>
      </c>
      <c r="B196" s="176"/>
      <c r="C196" s="176"/>
      <c r="D196" s="176"/>
      <c r="E196" s="176"/>
      <c r="F196" s="176"/>
      <c r="G196" s="176"/>
      <c r="H196" s="50">
        <f>ПТО!G14</f>
        <v>15000</v>
      </c>
      <c r="I196" s="51" t="s">
        <v>80</v>
      </c>
    </row>
    <row r="197" spans="1:10" ht="18.75" customHeight="1">
      <c r="A197" s="176" t="str">
        <f>ПТО!F15</f>
        <v xml:space="preserve">  -  передача бесхозных эл. сети и ТП</v>
      </c>
      <c r="B197" s="176"/>
      <c r="C197" s="176"/>
      <c r="D197" s="176"/>
      <c r="E197" s="176"/>
      <c r="F197" s="176"/>
      <c r="G197" s="176"/>
      <c r="H197" s="50">
        <f>ПТО!G15</f>
        <v>12000</v>
      </c>
      <c r="I197" s="51" t="s">
        <v>80</v>
      </c>
    </row>
    <row r="198" spans="1:10" ht="18.75" customHeight="1">
      <c r="A198" s="176" t="str">
        <f>ПТО!F16</f>
        <v xml:space="preserve">  -  ремонт резервного частотного преобразователя</v>
      </c>
      <c r="B198" s="176"/>
      <c r="C198" s="176"/>
      <c r="D198" s="176"/>
      <c r="E198" s="176"/>
      <c r="F198" s="176"/>
      <c r="G198" s="176"/>
      <c r="H198" s="50">
        <f>ПТО!G16</f>
        <v>110000</v>
      </c>
      <c r="I198" s="53" t="s">
        <v>80</v>
      </c>
    </row>
    <row r="199" spans="1:10" ht="18.75" customHeight="1">
      <c r="A199" s="176" t="str">
        <f>ПТО!F17</f>
        <v xml:space="preserve">  -  благоустройство придомовой территории</v>
      </c>
      <c r="B199" s="176"/>
      <c r="C199" s="176"/>
      <c r="D199" s="176"/>
      <c r="E199" s="176"/>
      <c r="F199" s="176"/>
      <c r="G199" s="176"/>
      <c r="H199" s="50">
        <f>ПТО!G17</f>
        <v>5000</v>
      </c>
      <c r="I199" s="51" t="s">
        <v>80</v>
      </c>
    </row>
    <row r="200" spans="1:10">
      <c r="A200" s="176" t="str">
        <f>ПТО!F18</f>
        <v xml:space="preserve">  -  приобретение частотного преобразователя</v>
      </c>
      <c r="B200" s="176"/>
      <c r="C200" s="176"/>
      <c r="D200" s="176"/>
      <c r="E200" s="176"/>
      <c r="F200" s="176"/>
      <c r="G200" s="176"/>
      <c r="H200" s="50">
        <f>ПТО!G18</f>
        <v>130500</v>
      </c>
      <c r="I200" s="51" t="s">
        <v>80</v>
      </c>
    </row>
    <row r="201" spans="1:10" hidden="1">
      <c r="A201" s="176">
        <f>ПТО!F19</f>
        <v>0</v>
      </c>
      <c r="B201" s="176"/>
      <c r="C201" s="176"/>
      <c r="D201" s="176"/>
      <c r="E201" s="176"/>
      <c r="F201" s="176"/>
      <c r="G201" s="176"/>
      <c r="H201" s="50">
        <f>ПТО!G19</f>
        <v>0</v>
      </c>
      <c r="I201" s="51" t="s">
        <v>80</v>
      </c>
    </row>
    <row r="202" spans="1:10" hidden="1">
      <c r="A202" s="176">
        <f>ПТО!F20</f>
        <v>0</v>
      </c>
      <c r="B202" s="176"/>
      <c r="C202" s="176"/>
      <c r="D202" s="176"/>
      <c r="E202" s="176"/>
      <c r="F202" s="176"/>
      <c r="G202" s="176"/>
      <c r="H202" s="50">
        <f>ПТО!G20</f>
        <v>0</v>
      </c>
      <c r="I202" s="51" t="s">
        <v>80</v>
      </c>
    </row>
    <row r="203" spans="1:10" hidden="1">
      <c r="A203" s="176">
        <f>ПТО!F21</f>
        <v>0</v>
      </c>
      <c r="B203" s="176"/>
      <c r="C203" s="176"/>
      <c r="D203" s="176"/>
      <c r="E203" s="176"/>
      <c r="F203" s="176"/>
      <c r="G203" s="176"/>
      <c r="H203" s="50">
        <f>ПТО!G21</f>
        <v>0</v>
      </c>
      <c r="I203" s="51" t="s">
        <v>80</v>
      </c>
    </row>
    <row r="204" spans="1:10" hidden="1">
      <c r="A204" s="176">
        <f>ПТО!F22</f>
        <v>0</v>
      </c>
      <c r="B204" s="176"/>
      <c r="C204" s="176"/>
      <c r="D204" s="176"/>
      <c r="E204" s="176"/>
      <c r="F204" s="176"/>
      <c r="G204" s="176"/>
      <c r="H204" s="50">
        <f>ПТО!G22</f>
        <v>0</v>
      </c>
      <c r="I204" s="51" t="s">
        <v>80</v>
      </c>
    </row>
    <row r="205" spans="1:10" hidden="1">
      <c r="A205" s="176">
        <f>ПТО!F23</f>
        <v>0</v>
      </c>
      <c r="B205" s="176"/>
      <c r="C205" s="176"/>
      <c r="D205" s="176"/>
      <c r="E205" s="176"/>
      <c r="F205" s="176"/>
      <c r="G205" s="176"/>
      <c r="H205" s="50">
        <f>ПТО!G23</f>
        <v>0</v>
      </c>
      <c r="I205" s="51" t="s">
        <v>80</v>
      </c>
    </row>
    <row r="206" spans="1:10" hidden="1">
      <c r="A206" s="176">
        <f>ПТО!F24</f>
        <v>0</v>
      </c>
      <c r="B206" s="176"/>
      <c r="C206" s="176"/>
      <c r="D206" s="176"/>
      <c r="E206" s="176"/>
      <c r="F206" s="176"/>
      <c r="G206" s="176"/>
      <c r="H206" s="50">
        <f>ПТО!G24</f>
        <v>0</v>
      </c>
      <c r="I206" s="51" t="s">
        <v>80</v>
      </c>
    </row>
    <row r="207" spans="1:10" hidden="1">
      <c r="A207" s="176">
        <f>ПТО!F25</f>
        <v>0</v>
      </c>
      <c r="B207" s="176"/>
      <c r="C207" s="176"/>
      <c r="D207" s="176"/>
      <c r="E207" s="176"/>
      <c r="F207" s="176"/>
      <c r="G207" s="176"/>
      <c r="H207" s="50">
        <f>ПТО!G25</f>
        <v>0</v>
      </c>
      <c r="I207" s="51" t="s">
        <v>80</v>
      </c>
    </row>
    <row r="208" spans="1:10" hidden="1">
      <c r="A208" s="176">
        <f>ПТО!F26</f>
        <v>0</v>
      </c>
      <c r="B208" s="176"/>
      <c r="C208" s="176"/>
      <c r="D208" s="176"/>
      <c r="E208" s="176"/>
      <c r="F208" s="176"/>
      <c r="G208" s="176"/>
      <c r="H208" s="50">
        <f>ПТО!G26</f>
        <v>0</v>
      </c>
      <c r="I208" s="51" t="s">
        <v>80</v>
      </c>
    </row>
    <row r="209" spans="1:9" hidden="1">
      <c r="A209" s="176">
        <f>ПТО!F27</f>
        <v>0</v>
      </c>
      <c r="B209" s="176"/>
      <c r="C209" s="176"/>
      <c r="D209" s="176"/>
      <c r="E209" s="176"/>
      <c r="F209" s="176"/>
      <c r="G209" s="176"/>
      <c r="H209" s="50">
        <f>ПТО!G27</f>
        <v>0</v>
      </c>
      <c r="I209" s="51" t="s">
        <v>80</v>
      </c>
    </row>
    <row r="210" spans="1:9" hidden="1">
      <c r="A210" s="176">
        <f>ПТО!F28</f>
        <v>0</v>
      </c>
      <c r="B210" s="176"/>
      <c r="C210" s="176"/>
      <c r="D210" s="176"/>
      <c r="E210" s="176"/>
      <c r="F210" s="176"/>
      <c r="G210" s="176"/>
      <c r="H210" s="50">
        <f>ПТО!G28</f>
        <v>0</v>
      </c>
      <c r="I210" s="51" t="s">
        <v>80</v>
      </c>
    </row>
    <row r="211" spans="1:9" hidden="1">
      <c r="A211" s="176">
        <f>ПТО!F29</f>
        <v>0</v>
      </c>
      <c r="B211" s="176"/>
      <c r="C211" s="176"/>
      <c r="D211" s="176"/>
      <c r="E211" s="176"/>
      <c r="F211" s="176"/>
      <c r="G211" s="176"/>
      <c r="H211" s="50">
        <f>ПТО!G29</f>
        <v>0</v>
      </c>
      <c r="I211" s="51" t="s">
        <v>80</v>
      </c>
    </row>
    <row r="212" spans="1:9" hidden="1">
      <c r="A212" s="176">
        <f>ПТО!F30</f>
        <v>0</v>
      </c>
      <c r="B212" s="176"/>
      <c r="C212" s="176"/>
      <c r="D212" s="176"/>
      <c r="E212" s="176"/>
      <c r="F212" s="176"/>
      <c r="G212" s="176"/>
      <c r="H212" s="50">
        <f>ПТО!G30</f>
        <v>0</v>
      </c>
      <c r="I212" s="51" t="s">
        <v>80</v>
      </c>
    </row>
    <row r="213" spans="1:9" hidden="1">
      <c r="A213" s="176">
        <f>ПТО!F31</f>
        <v>0</v>
      </c>
      <c r="B213" s="176"/>
      <c r="C213" s="176"/>
      <c r="D213" s="176"/>
      <c r="E213" s="176"/>
      <c r="F213" s="176"/>
      <c r="G213" s="176"/>
      <c r="H213" s="50">
        <f>ПТО!G31</f>
        <v>0</v>
      </c>
      <c r="I213" s="51" t="s">
        <v>80</v>
      </c>
    </row>
    <row r="214" spans="1:9">
      <c r="A214" s="54" t="s">
        <v>84</v>
      </c>
      <c r="B214" s="55"/>
      <c r="C214" s="55"/>
      <c r="D214" s="55"/>
      <c r="E214" s="55"/>
      <c r="F214" s="55"/>
      <c r="G214" s="55"/>
      <c r="H214" s="56">
        <f>SUM(H194:H213)</f>
        <v>281800</v>
      </c>
      <c r="I214" s="57" t="s">
        <v>85</v>
      </c>
    </row>
  </sheetData>
  <sheetProtection password="CC1C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7" workbookViewId="0">
      <selection activeCell="C14" sqref="C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71</v>
      </c>
      <c r="G1" s="102">
        <f>23807.19</f>
        <v>23807.19</v>
      </c>
    </row>
    <row r="2" spans="1:12" ht="18.75" customHeight="1">
      <c r="A2" s="118" t="s">
        <v>77</v>
      </c>
      <c r="B2" s="120" t="s">
        <v>194</v>
      </c>
      <c r="C2" s="120">
        <v>1</v>
      </c>
      <c r="D2" s="125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7" t="s">
        <v>187</v>
      </c>
      <c r="B3" s="120" t="s">
        <v>195</v>
      </c>
      <c r="C3" s="138">
        <v>1</v>
      </c>
      <c r="D3" s="130">
        <v>1450</v>
      </c>
      <c r="E3" s="139" t="s">
        <v>200</v>
      </c>
      <c r="F3" s="30"/>
      <c r="G3" s="30"/>
      <c r="L3" s="33" t="str">
        <f t="shared" si="0"/>
        <v>ТР</v>
      </c>
    </row>
    <row r="4" spans="1:12" ht="18.75" customHeight="1">
      <c r="A4" s="123" t="s">
        <v>188</v>
      </c>
      <c r="B4" s="129" t="s">
        <v>195</v>
      </c>
      <c r="C4" s="129">
        <v>1</v>
      </c>
      <c r="D4" s="130">
        <v>29500</v>
      </c>
      <c r="E4" s="119" t="s">
        <v>191</v>
      </c>
      <c r="F4" s="30"/>
      <c r="G4" s="30"/>
      <c r="L4" s="33" t="str">
        <f t="shared" si="0"/>
        <v>ТР</v>
      </c>
    </row>
    <row r="5" spans="1:12" ht="32.25" customHeight="1">
      <c r="A5" s="124" t="s">
        <v>189</v>
      </c>
      <c r="B5" s="120" t="s">
        <v>195</v>
      </c>
      <c r="C5" s="120">
        <v>1</v>
      </c>
      <c r="D5" s="130">
        <v>2978</v>
      </c>
      <c r="E5" s="119" t="s">
        <v>192</v>
      </c>
      <c r="F5" s="45"/>
      <c r="G5" s="45"/>
      <c r="K5" s="47"/>
      <c r="L5" s="33" t="str">
        <f t="shared" si="0"/>
        <v>ТР</v>
      </c>
    </row>
    <row r="6" spans="1:12" ht="18.75" customHeight="1">
      <c r="A6" s="122" t="s">
        <v>190</v>
      </c>
      <c r="B6" s="126" t="s">
        <v>195</v>
      </c>
      <c r="C6" s="121">
        <v>1</v>
      </c>
      <c r="D6" s="127">
        <v>2437.5</v>
      </c>
      <c r="E6" s="128" t="s">
        <v>193</v>
      </c>
      <c r="F6" s="45"/>
      <c r="G6" s="45"/>
      <c r="K6" s="47"/>
      <c r="L6" s="33" t="str">
        <f t="shared" si="0"/>
        <v>ТР</v>
      </c>
    </row>
    <row r="7" spans="1:12" ht="18.75" customHeight="1">
      <c r="A7" s="142" t="s">
        <v>204</v>
      </c>
      <c r="B7" s="131" t="s">
        <v>195</v>
      </c>
      <c r="C7" s="132">
        <v>1</v>
      </c>
      <c r="D7" s="47">
        <v>12950</v>
      </c>
      <c r="E7" s="133" t="s">
        <v>198</v>
      </c>
      <c r="F7" s="46"/>
      <c r="G7" s="46"/>
      <c r="K7" s="47"/>
      <c r="L7" s="33" t="str">
        <f t="shared" si="0"/>
        <v>ТР</v>
      </c>
    </row>
    <row r="8" spans="1:12" ht="18.75" customHeight="1">
      <c r="A8" s="134" t="s">
        <v>197</v>
      </c>
      <c r="B8" s="135" t="s">
        <v>195</v>
      </c>
      <c r="C8" s="43">
        <v>1</v>
      </c>
      <c r="D8" s="44">
        <v>7472</v>
      </c>
      <c r="E8" s="136" t="s">
        <v>199</v>
      </c>
      <c r="F8" s="46"/>
      <c r="G8" s="46"/>
      <c r="K8" s="44"/>
      <c r="L8" s="33" t="str">
        <f t="shared" si="0"/>
        <v>ТР</v>
      </c>
    </row>
    <row r="9" spans="1:12">
      <c r="A9" s="45" t="s">
        <v>205</v>
      </c>
      <c r="B9" s="140" t="s">
        <v>195</v>
      </c>
      <c r="C9" s="43">
        <v>1</v>
      </c>
      <c r="D9" s="44">
        <v>7088</v>
      </c>
      <c r="E9" s="45" t="s">
        <v>201</v>
      </c>
      <c r="F9" s="45"/>
      <c r="G9" s="45"/>
      <c r="K9" s="44"/>
      <c r="L9" s="33" t="str">
        <f t="shared" si="0"/>
        <v>ТР</v>
      </c>
    </row>
    <row r="10" spans="1:12">
      <c r="A10" s="145"/>
      <c r="B10" s="146"/>
      <c r="C10" s="147"/>
      <c r="D10" s="47"/>
      <c r="E10" s="148"/>
      <c r="L10" s="33">
        <f t="shared" si="0"/>
        <v>0</v>
      </c>
    </row>
    <row r="11" spans="1:12" ht="94.5">
      <c r="A11" s="30"/>
      <c r="F11" s="112" t="s">
        <v>78</v>
      </c>
      <c r="G11" s="112"/>
      <c r="L11" s="33">
        <f t="shared" si="0"/>
        <v>0</v>
      </c>
    </row>
    <row r="12" spans="1:12" ht="31.5">
      <c r="A12" s="30"/>
      <c r="F12" s="113" t="s">
        <v>79</v>
      </c>
      <c r="G12" s="114">
        <v>1200</v>
      </c>
      <c r="L12" s="33">
        <f t="shared" si="0"/>
        <v>0</v>
      </c>
    </row>
    <row r="13" spans="1:12" ht="31.5">
      <c r="A13" s="30"/>
      <c r="F13" s="113" t="s">
        <v>81</v>
      </c>
      <c r="G13" s="114">
        <v>8100</v>
      </c>
      <c r="L13" s="33">
        <f t="shared" si="0"/>
        <v>0</v>
      </c>
    </row>
    <row r="14" spans="1:12" ht="31.5">
      <c r="A14" s="30"/>
      <c r="F14" s="113" t="s">
        <v>82</v>
      </c>
      <c r="G14" s="114">
        <v>15000</v>
      </c>
      <c r="L14" s="33">
        <f t="shared" si="0"/>
        <v>0</v>
      </c>
    </row>
    <row r="15" spans="1:12" ht="15.75">
      <c r="A15" s="30"/>
      <c r="F15" s="113" t="s">
        <v>83</v>
      </c>
      <c r="G15" s="114">
        <v>12000</v>
      </c>
      <c r="L15" s="33">
        <f t="shared" si="0"/>
        <v>0</v>
      </c>
    </row>
    <row r="16" spans="1:12" ht="31.5">
      <c r="A16" s="30"/>
      <c r="F16" s="113" t="s">
        <v>202</v>
      </c>
      <c r="G16" s="114">
        <v>110000</v>
      </c>
      <c r="L16" s="33">
        <f t="shared" si="0"/>
        <v>0</v>
      </c>
    </row>
    <row r="17" spans="1:12" ht="31.5">
      <c r="A17" s="30"/>
      <c r="F17" s="141" t="s">
        <v>203</v>
      </c>
      <c r="G17" s="114">
        <v>5000</v>
      </c>
      <c r="L17" s="33">
        <f t="shared" si="0"/>
        <v>0</v>
      </c>
    </row>
    <row r="18" spans="1:12" ht="31.5">
      <c r="A18" s="30"/>
      <c r="F18" s="144" t="s">
        <v>206</v>
      </c>
      <c r="G18" s="143">
        <v>130500</v>
      </c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265816.68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265816.68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183</v>
      </c>
      <c r="B40" s="38">
        <v>54174.6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54174.6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42978.48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42978.48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43339.68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43339.68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13724.28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13724.28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67537.679999999993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67537.679999999993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185</v>
      </c>
      <c r="B46" s="38">
        <v>180582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180582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50"/>
      <c r="F66" s="51"/>
      <c r="G66" s="103"/>
      <c r="H66" s="103"/>
      <c r="I66" s="103"/>
      <c r="J66" s="103"/>
      <c r="M66" s="1"/>
    </row>
    <row r="67" spans="4:13" ht="18.75" customHeight="1">
      <c r="D67" s="103"/>
      <c r="E67" s="50"/>
      <c r="F67" s="51"/>
      <c r="G67" s="103"/>
      <c r="H67" s="103"/>
      <c r="I67" s="103"/>
      <c r="J67" s="103"/>
      <c r="M67" s="1"/>
    </row>
    <row r="68" spans="4:13" ht="18.75" customHeight="1">
      <c r="D68" s="103"/>
      <c r="E68" s="50"/>
      <c r="F68" s="51"/>
      <c r="G68" s="103"/>
      <c r="H68" s="103"/>
      <c r="I68" s="103"/>
      <c r="J68" s="103"/>
      <c r="M68" s="1"/>
    </row>
    <row r="69" spans="4:13" ht="18.75" customHeight="1">
      <c r="D69" s="103"/>
      <c r="E69" s="50"/>
      <c r="F69" s="51"/>
      <c r="G69" s="103"/>
      <c r="H69" s="103"/>
      <c r="I69" s="103"/>
      <c r="J69" s="103"/>
      <c r="M69" s="1"/>
    </row>
    <row r="70" spans="4:13" ht="18.75" customHeight="1">
      <c r="D70" s="103"/>
      <c r="E70" s="52"/>
      <c r="F70" s="53"/>
      <c r="G70" s="103"/>
      <c r="H70" s="103"/>
      <c r="I70" s="103"/>
      <c r="J70" s="103"/>
      <c r="M70" s="1"/>
    </row>
    <row r="71" spans="4:13" ht="18.75" customHeight="1">
      <c r="D71" s="103"/>
      <c r="E71" s="50"/>
      <c r="F71" s="51"/>
      <c r="G71" s="103"/>
      <c r="H71" s="103"/>
      <c r="I71" s="103"/>
      <c r="J71" s="103"/>
      <c r="M71" s="1"/>
    </row>
  </sheetData>
  <sheetProtection algorithmName="SHA-512" hashValue="UJPYB2GBy1ynVjuPkGrK9M//BT/Ot9bGUF/BOFybcu0XIPXFl/1Fc1PmAoAEwLvTbJuQ7bvzTi0O4nuM9uoqUQ==" saltValue="WU+LHxrlFv/5n26k1XJDS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14" sqref="C14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196</v>
      </c>
      <c r="F1" s="61">
        <v>3009.7</v>
      </c>
    </row>
    <row r="2" spans="1:10" ht="15.75" customHeight="1">
      <c r="A2" s="71" t="s">
        <v>90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91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92</v>
      </c>
      <c r="B4" s="73" t="s">
        <v>4</v>
      </c>
      <c r="C4" s="84">
        <v>436102.16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93</v>
      </c>
      <c r="B5" s="73" t="s">
        <v>5</v>
      </c>
      <c r="C5" s="80">
        <f>SUM(C6:C8)</f>
        <v>840036.83000000007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94</v>
      </c>
      <c r="B6" s="73" t="s">
        <v>6</v>
      </c>
      <c r="C6" s="84">
        <v>677513.03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95</v>
      </c>
      <c r="B7" s="73" t="s">
        <v>7</v>
      </c>
      <c r="C7" s="84">
        <f>F1*4.5*12</f>
        <v>162523.79999999999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96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97</v>
      </c>
      <c r="B9" s="73" t="s">
        <v>9</v>
      </c>
      <c r="C9" s="80">
        <f>SUM(C10:C14)</f>
        <v>947332.43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98</v>
      </c>
      <c r="B10" s="73" t="s">
        <v>10</v>
      </c>
      <c r="C10" s="84">
        <v>947332.43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99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100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101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102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103</v>
      </c>
      <c r="B15" s="73" t="s">
        <v>15</v>
      </c>
      <c r="C15" s="80">
        <f>C9</f>
        <v>947332.43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104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105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106</v>
      </c>
      <c r="B18" s="73" t="s">
        <v>18</v>
      </c>
      <c r="C18" s="80">
        <f>IF(C16&gt;0,0,IF(C4&gt;0,C4+C5-C9,C5-C2-C9))</f>
        <v>328806.55999999994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169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107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80"/>
      <c r="N20" s="63"/>
    </row>
    <row r="21" spans="1:15" ht="15.75" customHeight="1">
      <c r="A21" s="71" t="s">
        <v>108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80"/>
      <c r="N21" s="63"/>
    </row>
    <row r="22" spans="1:15" ht="15.75" customHeight="1">
      <c r="A22" s="71" t="s">
        <v>109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80"/>
      <c r="N22" s="63"/>
    </row>
    <row r="23" spans="1:15" ht="15.75" customHeight="1">
      <c r="A23" s="71" t="s">
        <v>110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80"/>
      <c r="N23" s="63"/>
    </row>
    <row r="24" spans="1:15" ht="18.75">
      <c r="A24" s="74" t="s">
        <v>170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111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9"/>
      <c r="N25" s="64"/>
    </row>
    <row r="26" spans="1:15" ht="18.75" customHeight="1">
      <c r="A26" s="71" t="s">
        <v>112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9"/>
      <c r="N26" s="64"/>
    </row>
    <row r="27" spans="1:15" ht="18.75" customHeight="1">
      <c r="A27" s="71" t="s">
        <v>113</v>
      </c>
      <c r="B27" s="76" t="s">
        <v>4</v>
      </c>
      <c r="C27" s="87">
        <v>196558.03</v>
      </c>
      <c r="D27" s="82" t="s">
        <v>60</v>
      </c>
      <c r="E27" s="65"/>
      <c r="F27" s="65"/>
      <c r="G27" s="65"/>
      <c r="H27" s="65"/>
      <c r="I27" s="65"/>
      <c r="J27" s="65"/>
      <c r="M27" s="179"/>
      <c r="N27" s="64"/>
    </row>
    <row r="28" spans="1:15" ht="18.75" customHeight="1">
      <c r="A28" s="71" t="s">
        <v>114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9"/>
      <c r="N28" s="64"/>
    </row>
    <row r="29" spans="1:15" ht="18.75" customHeight="1">
      <c r="A29" s="71" t="s">
        <v>115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9"/>
      <c r="N29" s="64"/>
    </row>
    <row r="30" spans="1:15" ht="18.75" customHeight="1">
      <c r="A30" s="71" t="s">
        <v>116</v>
      </c>
      <c r="B30" s="76" t="s">
        <v>18</v>
      </c>
      <c r="C30" s="87">
        <v>96065.93</v>
      </c>
      <c r="D30" s="82" t="s">
        <v>66</v>
      </c>
      <c r="E30" s="65"/>
      <c r="F30" s="65"/>
      <c r="G30" s="65"/>
      <c r="H30" s="65"/>
      <c r="I30" s="65"/>
      <c r="J30" s="65"/>
      <c r="M30" s="179"/>
      <c r="N30" s="64"/>
    </row>
    <row r="31" spans="1:15" ht="18.75" customHeight="1">
      <c r="A31" s="71" t="s">
        <v>117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9"/>
      <c r="N31" s="64"/>
    </row>
    <row r="32" spans="1:15" ht="18.75" customHeight="1">
      <c r="A32" s="71" t="s">
        <v>118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9"/>
      <c r="N32" s="64"/>
    </row>
    <row r="33" spans="1:15" ht="18.75" customHeight="1">
      <c r="A33" s="71" t="s">
        <v>119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9"/>
      <c r="N33" s="64"/>
    </row>
    <row r="34" spans="1:15" ht="18.75" customHeight="1">
      <c r="A34" s="71" t="s">
        <v>120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9"/>
      <c r="N34" s="64"/>
    </row>
    <row r="35" spans="1:15" ht="18.75">
      <c r="A35" s="74" t="s">
        <v>171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172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128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179539.45</v>
      </c>
      <c r="F37" s="95" t="s">
        <v>175</v>
      </c>
      <c r="G37" s="67"/>
      <c r="H37" s="67"/>
      <c r="I37" s="67"/>
      <c r="L37" s="64"/>
      <c r="M37" s="178"/>
      <c r="N37" s="64"/>
      <c r="O37" s="64"/>
    </row>
    <row r="38" spans="1:15" ht="18.75" customHeight="1">
      <c r="A38" s="71" t="s">
        <v>121</v>
      </c>
      <c r="B38" s="79" t="s">
        <v>37</v>
      </c>
      <c r="C38" s="91">
        <v>163962.97</v>
      </c>
      <c r="D38" s="95" t="s">
        <v>173</v>
      </c>
      <c r="E38" s="69"/>
      <c r="G38" s="68"/>
      <c r="H38" s="68"/>
      <c r="L38" s="64"/>
      <c r="M38" s="178"/>
      <c r="N38" s="64"/>
      <c r="O38" s="64"/>
    </row>
    <row r="39" spans="1:15" ht="18.75" customHeight="1">
      <c r="A39" s="71" t="s">
        <v>122</v>
      </c>
      <c r="B39" s="79" t="s">
        <v>38</v>
      </c>
      <c r="C39" s="92">
        <v>228365.76</v>
      </c>
      <c r="D39" s="95" t="s">
        <v>174</v>
      </c>
      <c r="E39" s="69"/>
      <c r="G39" s="68"/>
      <c r="H39" s="68"/>
      <c r="L39" s="64"/>
      <c r="M39" s="178"/>
      <c r="N39" s="64"/>
      <c r="O39" s="64"/>
    </row>
    <row r="40" spans="1:15" ht="18.75" customHeight="1">
      <c r="A40" s="71" t="s">
        <v>123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8"/>
      <c r="N40" s="64"/>
      <c r="O40" s="64"/>
    </row>
    <row r="41" spans="1:15" ht="18.75" customHeight="1">
      <c r="A41" s="71" t="s">
        <v>124</v>
      </c>
      <c r="B41" s="79" t="s">
        <v>40</v>
      </c>
      <c r="C41" s="94">
        <f>E37</f>
        <v>179539.45</v>
      </c>
      <c r="D41" s="81" t="s">
        <v>59</v>
      </c>
      <c r="E41" s="69"/>
      <c r="G41" s="68"/>
      <c r="H41" s="68"/>
      <c r="L41" s="64"/>
      <c r="M41" s="178"/>
      <c r="N41" s="64"/>
      <c r="O41" s="64"/>
    </row>
    <row r="42" spans="1:15" ht="18.75" customHeight="1">
      <c r="A42" s="71" t="s">
        <v>125</v>
      </c>
      <c r="B42" s="79" t="s">
        <v>41</v>
      </c>
      <c r="C42" s="94">
        <f>E37</f>
        <v>179539.45</v>
      </c>
      <c r="D42" s="81" t="s">
        <v>59</v>
      </c>
      <c r="E42" s="69"/>
      <c r="G42" s="68"/>
      <c r="H42" s="68"/>
      <c r="L42" s="64"/>
      <c r="M42" s="178"/>
      <c r="N42" s="64"/>
      <c r="O42" s="64"/>
    </row>
    <row r="43" spans="1:15" ht="18.75" customHeight="1">
      <c r="A43" s="71" t="s">
        <v>126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8"/>
      <c r="N43" s="64"/>
      <c r="O43" s="64"/>
    </row>
    <row r="44" spans="1:15" ht="30" customHeight="1">
      <c r="A44" s="71" t="s">
        <v>127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8"/>
      <c r="N44" s="64"/>
      <c r="O44" s="64"/>
    </row>
    <row r="45" spans="1:15" ht="18.75">
      <c r="A45" s="74" t="s">
        <v>129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69412.05</v>
      </c>
      <c r="F45" s="95" t="s">
        <v>175</v>
      </c>
      <c r="G45" s="67"/>
      <c r="H45" s="67"/>
      <c r="L45" s="64"/>
      <c r="M45" s="178"/>
      <c r="N45" s="64"/>
      <c r="O45" s="64"/>
    </row>
    <row r="46" spans="1:15" ht="18.75" customHeight="1">
      <c r="A46" s="74" t="s">
        <v>130</v>
      </c>
      <c r="B46" s="79" t="s">
        <v>37</v>
      </c>
      <c r="C46" s="91">
        <v>4984.71</v>
      </c>
      <c r="D46" s="95" t="s">
        <v>176</v>
      </c>
      <c r="E46" s="69"/>
      <c r="G46" s="68"/>
      <c r="H46" s="68"/>
      <c r="L46" s="64"/>
      <c r="M46" s="178"/>
      <c r="N46" s="64"/>
      <c r="O46" s="64"/>
    </row>
    <row r="47" spans="1:15" ht="18.75" customHeight="1">
      <c r="A47" s="74" t="s">
        <v>131</v>
      </c>
      <c r="B47" s="79" t="s">
        <v>38</v>
      </c>
      <c r="C47" s="92">
        <v>88126.35</v>
      </c>
      <c r="D47" s="95" t="s">
        <v>174</v>
      </c>
      <c r="E47" s="69"/>
      <c r="G47" s="68"/>
      <c r="H47" s="68"/>
      <c r="L47" s="64"/>
      <c r="M47" s="178"/>
      <c r="N47" s="64"/>
      <c r="O47" s="64"/>
    </row>
    <row r="48" spans="1:15" ht="18.75" customHeight="1">
      <c r="A48" s="74" t="s">
        <v>132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8"/>
      <c r="N48" s="64"/>
      <c r="O48" s="64"/>
    </row>
    <row r="49" spans="1:15" ht="18.75" customHeight="1">
      <c r="A49" s="74" t="s">
        <v>133</v>
      </c>
      <c r="B49" s="79" t="s">
        <v>40</v>
      </c>
      <c r="C49" s="94">
        <f>E45</f>
        <v>69412.05</v>
      </c>
      <c r="D49" s="81" t="s">
        <v>59</v>
      </c>
      <c r="E49" s="69"/>
      <c r="G49" s="68"/>
      <c r="H49" s="68"/>
      <c r="L49" s="64"/>
      <c r="M49" s="178"/>
      <c r="N49" s="64"/>
      <c r="O49" s="64"/>
    </row>
    <row r="50" spans="1:15" ht="18.75" customHeight="1">
      <c r="A50" s="74" t="s">
        <v>134</v>
      </c>
      <c r="B50" s="79" t="s">
        <v>41</v>
      </c>
      <c r="C50" s="94">
        <f>E45</f>
        <v>69412.05</v>
      </c>
      <c r="D50" s="81" t="s">
        <v>59</v>
      </c>
      <c r="E50" s="69"/>
      <c r="G50" s="68"/>
      <c r="H50" s="68"/>
      <c r="L50" s="64"/>
      <c r="M50" s="178"/>
      <c r="N50" s="64"/>
      <c r="O50" s="64"/>
    </row>
    <row r="51" spans="1:15" ht="18.75" customHeight="1">
      <c r="A51" s="74" t="s">
        <v>135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8"/>
      <c r="N51" s="64"/>
      <c r="O51" s="64"/>
    </row>
    <row r="52" spans="1:15" ht="29.25" customHeight="1">
      <c r="A52" s="74" t="s">
        <v>136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8"/>
      <c r="N52" s="64"/>
      <c r="O52" s="64"/>
    </row>
    <row r="53" spans="1:15" ht="18.75">
      <c r="A53" s="74" t="s">
        <v>137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119524.31</v>
      </c>
      <c r="F53" s="95" t="s">
        <v>175</v>
      </c>
      <c r="G53" s="67"/>
      <c r="H53" s="67"/>
      <c r="L53" s="64"/>
      <c r="M53" s="178"/>
      <c r="N53" s="64"/>
      <c r="O53" s="64"/>
    </row>
    <row r="54" spans="1:15" ht="18.75" customHeight="1">
      <c r="A54" s="74" t="s">
        <v>138</v>
      </c>
      <c r="B54" s="76" t="s">
        <v>37</v>
      </c>
      <c r="C54" s="99">
        <v>8011.01</v>
      </c>
      <c r="D54" s="95" t="s">
        <v>176</v>
      </c>
      <c r="E54" s="70"/>
      <c r="F54" s="90"/>
      <c r="G54" s="65"/>
      <c r="H54" s="65"/>
      <c r="L54" s="64"/>
      <c r="M54" s="178"/>
      <c r="N54" s="64"/>
      <c r="O54" s="64"/>
    </row>
    <row r="55" spans="1:15" ht="18.75" customHeight="1">
      <c r="A55" s="74" t="s">
        <v>139</v>
      </c>
      <c r="B55" s="76" t="s">
        <v>38</v>
      </c>
      <c r="C55" s="87">
        <v>153222.01999999999</v>
      </c>
      <c r="D55" s="95" t="s">
        <v>174</v>
      </c>
      <c r="E55" s="70"/>
      <c r="G55" s="65"/>
      <c r="H55" s="65"/>
      <c r="L55" s="64"/>
      <c r="M55" s="178"/>
      <c r="N55" s="64"/>
      <c r="O55" s="64"/>
    </row>
    <row r="56" spans="1:15" ht="18.75" customHeight="1">
      <c r="A56" s="74" t="s">
        <v>140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8"/>
      <c r="N56" s="64"/>
      <c r="O56" s="64"/>
    </row>
    <row r="57" spans="1:15" ht="18.75" customHeight="1">
      <c r="A57" s="74" t="s">
        <v>141</v>
      </c>
      <c r="B57" s="76" t="s">
        <v>40</v>
      </c>
      <c r="C57" s="94">
        <f>E53</f>
        <v>119524.31</v>
      </c>
      <c r="D57" s="81" t="s">
        <v>59</v>
      </c>
      <c r="E57" s="70"/>
      <c r="G57" s="65"/>
      <c r="H57" s="65"/>
      <c r="L57" s="64"/>
      <c r="M57" s="178"/>
      <c r="N57" s="64"/>
      <c r="O57" s="64"/>
    </row>
    <row r="58" spans="1:15" ht="18.75" customHeight="1">
      <c r="A58" s="74" t="s">
        <v>142</v>
      </c>
      <c r="B58" s="76" t="s">
        <v>41</v>
      </c>
      <c r="C58" s="94">
        <f>E53</f>
        <v>119524.31</v>
      </c>
      <c r="D58" s="81" t="s">
        <v>59</v>
      </c>
      <c r="E58" s="70"/>
      <c r="G58" s="65"/>
      <c r="H58" s="65"/>
      <c r="L58" s="64"/>
      <c r="M58" s="178"/>
      <c r="N58" s="64"/>
      <c r="O58" s="64"/>
    </row>
    <row r="59" spans="1:15" ht="18.75" customHeight="1">
      <c r="A59" s="74" t="s">
        <v>143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8"/>
      <c r="N59" s="64"/>
      <c r="O59" s="64"/>
    </row>
    <row r="60" spans="1:15" ht="33.75" customHeight="1">
      <c r="A60" s="74" t="s">
        <v>144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8"/>
      <c r="N60" s="64"/>
      <c r="O60" s="64"/>
    </row>
    <row r="61" spans="1:15" ht="15.75">
      <c r="A61" s="74" t="s">
        <v>145</v>
      </c>
      <c r="B61" s="78" t="s">
        <v>86</v>
      </c>
      <c r="C61" s="97" t="str">
        <f>IF(E61&gt;0,"Предоставляется",0)</f>
        <v>Предоставляется</v>
      </c>
      <c r="D61" s="97" t="s">
        <v>55</v>
      </c>
      <c r="E61" s="96">
        <v>124491.99</v>
      </c>
      <c r="F61" s="95" t="s">
        <v>175</v>
      </c>
      <c r="G61" s="67"/>
      <c r="H61" s="67"/>
    </row>
    <row r="62" spans="1:15" ht="15.75" customHeight="1">
      <c r="A62" s="74" t="s">
        <v>146</v>
      </c>
      <c r="B62" s="76" t="s">
        <v>37</v>
      </c>
      <c r="C62" s="99">
        <v>230.4</v>
      </c>
      <c r="D62" s="95" t="s">
        <v>176</v>
      </c>
      <c r="E62" s="70"/>
      <c r="G62" s="65"/>
      <c r="H62" s="65"/>
    </row>
    <row r="63" spans="1:15" ht="15.75" customHeight="1">
      <c r="A63" s="74" t="s">
        <v>147</v>
      </c>
      <c r="B63" s="76" t="s">
        <v>38</v>
      </c>
      <c r="C63" s="87">
        <v>106434.48</v>
      </c>
      <c r="D63" s="95" t="s">
        <v>174</v>
      </c>
      <c r="E63" s="70"/>
      <c r="G63" s="65"/>
      <c r="H63" s="65"/>
    </row>
    <row r="64" spans="1:15" ht="15.75" customHeight="1">
      <c r="A64" s="74" t="s">
        <v>148</v>
      </c>
      <c r="B64" s="76" t="s">
        <v>39</v>
      </c>
      <c r="C64" s="94">
        <f>IF(E61-C63&lt;0,0,E61-C63)</f>
        <v>18057.510000000009</v>
      </c>
      <c r="D64" s="81" t="s">
        <v>59</v>
      </c>
      <c r="E64" s="70"/>
      <c r="G64" s="65"/>
      <c r="H64" s="65"/>
    </row>
    <row r="65" spans="1:8" ht="15.75" customHeight="1">
      <c r="A65" s="74" t="s">
        <v>149</v>
      </c>
      <c r="B65" s="76" t="s">
        <v>40</v>
      </c>
      <c r="C65" s="94">
        <f>E61</f>
        <v>124491.99</v>
      </c>
      <c r="D65" s="81" t="s">
        <v>59</v>
      </c>
      <c r="E65" s="70"/>
      <c r="G65" s="65"/>
      <c r="H65" s="65"/>
    </row>
    <row r="66" spans="1:8" ht="15.75" customHeight="1">
      <c r="A66" s="74" t="s">
        <v>150</v>
      </c>
      <c r="B66" s="76" t="s">
        <v>41</v>
      </c>
      <c r="C66" s="94">
        <f>E61</f>
        <v>124491.99</v>
      </c>
      <c r="D66" s="81" t="s">
        <v>59</v>
      </c>
      <c r="E66" s="70"/>
      <c r="G66" s="65"/>
      <c r="H66" s="65"/>
    </row>
    <row r="67" spans="1:8" ht="15.75" customHeight="1">
      <c r="A67" s="74" t="s">
        <v>151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152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153</v>
      </c>
      <c r="B69" s="78" t="s">
        <v>87</v>
      </c>
      <c r="C69" s="97" t="str">
        <f>IF(E69&gt;0,"Предоставляется",0)</f>
        <v>Предоставляется</v>
      </c>
      <c r="D69" s="97" t="s">
        <v>55</v>
      </c>
      <c r="E69" s="96">
        <v>41257</v>
      </c>
      <c r="F69" s="95" t="s">
        <v>175</v>
      </c>
      <c r="G69" s="67"/>
      <c r="H69" s="67"/>
    </row>
    <row r="70" spans="1:8" ht="15.75" customHeight="1">
      <c r="A70" s="74" t="s">
        <v>154</v>
      </c>
      <c r="B70" s="76" t="s">
        <v>37</v>
      </c>
      <c r="C70" s="99">
        <v>2962.8</v>
      </c>
      <c r="D70" s="95" t="s">
        <v>176</v>
      </c>
      <c r="E70" s="70"/>
      <c r="G70" s="65"/>
      <c r="H70" s="65"/>
    </row>
    <row r="71" spans="1:8" ht="15.75" customHeight="1">
      <c r="A71" s="74" t="s">
        <v>155</v>
      </c>
      <c r="B71" s="76" t="s">
        <v>38</v>
      </c>
      <c r="C71" s="87">
        <v>58568.29</v>
      </c>
      <c r="D71" s="95" t="s">
        <v>174</v>
      </c>
      <c r="E71" s="70"/>
      <c r="G71" s="65"/>
      <c r="H71" s="65"/>
    </row>
    <row r="72" spans="1:8" ht="15.75" customHeight="1">
      <c r="A72" s="74" t="s">
        <v>156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157</v>
      </c>
      <c r="B73" s="76" t="s">
        <v>40</v>
      </c>
      <c r="C73" s="94">
        <f>E69</f>
        <v>41257</v>
      </c>
      <c r="D73" s="81" t="s">
        <v>59</v>
      </c>
      <c r="E73" s="70"/>
      <c r="G73" s="65"/>
      <c r="H73" s="65"/>
    </row>
    <row r="74" spans="1:8" ht="15.75" customHeight="1">
      <c r="A74" s="74" t="s">
        <v>158</v>
      </c>
      <c r="B74" s="76" t="s">
        <v>41</v>
      </c>
      <c r="C74" s="94">
        <f>E69</f>
        <v>41257</v>
      </c>
      <c r="D74" s="81" t="s">
        <v>59</v>
      </c>
      <c r="E74" s="70"/>
      <c r="G74" s="65"/>
      <c r="H74" s="65"/>
    </row>
    <row r="75" spans="1:8" ht="15.75" customHeight="1">
      <c r="A75" s="74" t="s">
        <v>159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160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161</v>
      </c>
      <c r="B77" s="78" t="s">
        <v>88</v>
      </c>
      <c r="C77" s="97">
        <f>IF(E77&gt;0,"Предоставляется",0)</f>
        <v>0</v>
      </c>
      <c r="D77" s="97" t="s">
        <v>89</v>
      </c>
      <c r="E77" s="96">
        <v>0</v>
      </c>
      <c r="F77" s="95" t="s">
        <v>175</v>
      </c>
      <c r="G77" s="67"/>
      <c r="H77" s="67"/>
    </row>
    <row r="78" spans="1:8" ht="15.75" customHeight="1">
      <c r="A78" s="74" t="s">
        <v>162</v>
      </c>
      <c r="B78" s="76" t="s">
        <v>37</v>
      </c>
      <c r="C78" s="99">
        <v>0</v>
      </c>
      <c r="D78" s="95" t="s">
        <v>177</v>
      </c>
      <c r="E78" s="65"/>
      <c r="G78" s="65"/>
      <c r="H78" s="65"/>
    </row>
    <row r="79" spans="1:8" ht="15.75" customHeight="1">
      <c r="A79" s="74" t="s">
        <v>163</v>
      </c>
      <c r="B79" s="76" t="s">
        <v>38</v>
      </c>
      <c r="C79" s="87">
        <v>0</v>
      </c>
      <c r="D79" s="95" t="s">
        <v>174</v>
      </c>
      <c r="E79" s="65"/>
      <c r="G79" s="65"/>
      <c r="H79" s="65"/>
    </row>
    <row r="80" spans="1:8" ht="15.75" customHeight="1">
      <c r="A80" s="74" t="s">
        <v>164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165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166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167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168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4" sqref="C1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178</v>
      </c>
      <c r="B2" s="60" t="s">
        <v>45</v>
      </c>
      <c r="C2" s="106">
        <v>10</v>
      </c>
      <c r="D2" s="108" t="s">
        <v>67</v>
      </c>
      <c r="E2" s="65"/>
      <c r="F2" s="65"/>
      <c r="G2" s="65"/>
      <c r="H2" s="65"/>
      <c r="I2" s="65"/>
      <c r="J2" s="65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179</v>
      </c>
      <c r="B3" s="60" t="s">
        <v>46</v>
      </c>
      <c r="C3" s="106">
        <v>2</v>
      </c>
      <c r="D3" s="108" t="s">
        <v>67</v>
      </c>
      <c r="E3" s="65"/>
      <c r="F3" s="65"/>
      <c r="G3" s="65"/>
      <c r="H3" s="65"/>
      <c r="I3" s="65"/>
      <c r="J3" s="65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180</v>
      </c>
      <c r="B4" s="60" t="s">
        <v>47</v>
      </c>
      <c r="C4" s="107">
        <v>600018.6</v>
      </c>
      <c r="D4" s="108" t="s">
        <v>67</v>
      </c>
      <c r="E4" s="65"/>
      <c r="F4" s="65"/>
      <c r="G4" s="65"/>
      <c r="H4" s="65"/>
      <c r="I4" s="65"/>
      <c r="J4" s="65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2020-03-18T07:45:53Z</dcterms:modified>
</cp:coreProperties>
</file>