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F134" i="1" l="1"/>
  <c r="A94" i="1"/>
  <c r="A95" i="1"/>
  <c r="A99" i="1"/>
  <c r="D118" i="1"/>
  <c r="A120" i="1"/>
  <c r="A124" i="1"/>
  <c r="A141" i="1"/>
  <c r="A98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<sst xmlns="http://schemas.openxmlformats.org/spreadsheetml/2006/main" count="541" uniqueCount="194">
  <si>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</si>
  <si>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</si>
  <si>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</si>
  <si>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</si>
  <si>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</si>
  <si>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</si>
  <si>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</si>
  <si>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</si>
  <si>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</si>
  <si>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</si>
  <si>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</si>
  <si>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</si>
  <si>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</si>
  <si>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</si>
  <si>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</si>
  <si>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</si>
  <si>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</si>
  <si>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</si>
  <si>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</si>
  <si>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</si>
  <si>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</si>
  <si>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</si>
  <si>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</si>
  <si>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</si>
  <si>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</si>
  <si>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</si>
  <si>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</si>
  <si>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</si>
  <si>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</si>
  <si>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</si>
  <si>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</si>
  <si>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</si>
  <si>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</si>
  <si>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</si>
  <si>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</si>
  <si>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</si>
  <si>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</si>
  <si>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</si>
  <si>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</si>
  <si>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</si>
  <si>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</si>
  <si>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</si>
  <si>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</si>
  <si>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</si>
  <si>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</si>
  <si>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</si>
  <si>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</si>
  <si>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</si>
  <si>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</si>
  <si>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</si>
  <si>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</si>
  <si>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</si>
  <si>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</si>
  <si>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</si>
  <si>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</si>
  <si>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</si>
  <si>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</si>
  <si>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</si>
  <si>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</si>
  <si>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</si>
  <si>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</si>
  <si>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</si>
  <si>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</si>
  <si>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</si>
  <si>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</si>
  <si>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</si>
  <si>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</si>
  <si>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</si>
  <si>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</si>
  <si>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</si>
  <si>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</si>
  <si>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</si>
  <si>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</si>
  <si>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</si>
  <si>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</si>
  <si>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</si>
  <si>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</si>
  <si>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</si>
  <si>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</si>
  <si>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</si>
  <si>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</si>
  <si>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</si>
  <si>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</si>
  <si>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</si>
  <si>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</si>
  <si>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</si>
  <si>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</si>
  <si>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</si>
  <si>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</si>
  <si>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</si>
  <si>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</si>
  <si>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</si>
  <si>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</si>
  <si>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</si>
  <si>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</si>
  <si>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</si>
  <si>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</si>
  <si>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</si>
  <si>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</si>
  <si>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</si>
  <si>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</si>
  <si>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</si>
  <si>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</si>
  <si>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</si>
  <si>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</si>
  <si>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</si>
  <si>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</si>
  <si>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</si>
  <si>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</si>
  <si>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</si>
  <si>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</si>
  <si>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</si>
  <si>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</si>
  <si>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</si>
  <si>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</si>
  <si>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</si>
  <si>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</si>
  <si>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</si>
  <si>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</si>
  <si>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</si>
  <si>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</si>
  <si>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</si>
  <si>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</si>
  <si>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</si>
  <si>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</si>
  <si>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</si>
  <si>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</si>
  <si>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</si>
  <si>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</si>
  <si>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</si>
  <si>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</si>
  <si>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</si>
  <si>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</si>
  <si>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</si>
  <si>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</si>
  <si>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</si>
  <si>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</si>
  <si>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</si>
  <si>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</si>
  <si>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</si>
  <si>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</si>
  <si>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</si>
  <si>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</si>
  <si>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</si>
  <si>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</si>
  <si>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</si>
  <si>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</si>
  <si>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</si>
  <si>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</si>
  <si>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</si>
  <si>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</si>
  <si>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</si>
  <si>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</si>
  <si>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</si>
  <si>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</si>
  <si>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</si>
  <si>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</si>
  <si>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</si>
  <si>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</si>
  <si>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</si>
  <si>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</si>
  <si>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</si>
  <si>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</si>
  <si>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</si>
  <si>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</si>
  <si>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</si>
  <si>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</si>
  <si>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</si>
  <si>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</si>
  <si>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</si>
  <si>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</si>
  <si>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</si>
  <si>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</si>
  <si>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</si>
  <si>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</si>
  <si>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</si>
  <si>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</si>
  <si>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</si>
  <si>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127</t>
  </si>
  <si>
    <t>Услуги промышленных альпинистов.</t>
  </si>
  <si>
    <t>ежемесячно</t>
  </si>
  <si>
    <t>разово</t>
  </si>
  <si>
    <t>АВР от 26.02.2019</t>
  </si>
  <si>
    <t>Аварийный ремонт теплообменника ГВС в ИТП.</t>
  </si>
  <si>
    <t>АВР от 14.09.2019</t>
  </si>
  <si>
    <t>площадь дома</t>
  </si>
  <si>
    <t>Ремонт подъезда.</t>
  </si>
  <si>
    <t>АВР от 20.11.2019, Решение, счет №53041 от 09.09.2019, смета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</si>
  <si>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</si>
  <si>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</si>
  <si>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</si>
  <si>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127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</si>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</sst>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0" fontId="20" fillId="0" borderId="0"/>
    <xf numFmtId="0" fontId="3" fillId="0" borderId="0"/>
  </cellStyleXfs>
  <cellXfs count="166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4" fillId="0" borderId="0" xfId="5" applyNumberFormat="1" applyBorder="1" applyAlignment="1"/>
    <xf numFmtId="4" fontId="4" fillId="0" borderId="0" xfId="5" applyNumberFormat="1" applyFill="1" applyBorder="1" applyAlignment="1"/>
    <xf numFmtId="0" fontId="4" fillId="0" borderId="0" xfId="5" applyFill="1" applyBorder="1" applyAlignment="1">
      <alignment horizontal="center" vertical="center"/>
    </xf>
    <xf numFmtId="0" fontId="4" fillId="0" borderId="0" xfId="5" applyFill="1" applyBorder="1"/>
    <xf numFmtId="0" fontId="4" fillId="0" borderId="0" xfId="5" applyFill="1" applyBorder="1" applyAlignment="1">
      <alignment horizontal="center"/>
    </xf>
    <xf numFmtId="0" fontId="4" fillId="0" borderId="0" xfId="5" applyFill="1" applyBorder="1" applyAlignment="1"/>
    <xf numFmtId="0" fontId="3" fillId="0" borderId="0" xfId="9" applyFont="1" applyFill="1" applyBorder="1" applyAlignment="1"/>
    <xf numFmtId="0" fontId="3" fillId="0" borderId="0" xfId="9" applyFont="1" applyFill="1" applyBorder="1" applyAlignment="1">
      <alignment horizontal="center"/>
    </xf>
    <xf numFmtId="0" fontId="3" fillId="0" borderId="0" xfId="9" applyFill="1" applyBorder="1" applyAlignment="1">
      <alignment horizontal="center"/>
    </xf>
    <xf numFmtId="4" fontId="3" fillId="0" borderId="0" xfId="9" applyNumberForma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/>
    <xf numFmtId="0" fontId="1" fillId="0" borderId="0" xfId="5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4 2" xfId="9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B153" sqref="B15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2" t="s">
        <v>178</v>
      </c>
      <c r="B2" s="152"/>
      <c r="C2" s="152"/>
      <c r="D2" s="152"/>
      <c r="E2" s="152"/>
      <c r="F2" s="152"/>
      <c r="G2" s="152"/>
      <c r="H2" s="152"/>
      <c r="I2" s="152"/>
      <c r="J2" s="152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192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6" t="s">
        <v>1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12"/>
      <c r="L8" s="153"/>
      <c r="M8" s="112"/>
      <c r="N8" s="112"/>
      <c r="O8" s="72" t="s">
        <v>84</v>
      </c>
      <c r="R8" s="16"/>
    </row>
    <row r="9" spans="1:18" ht="18.75" customHeight="1" outlineLevel="1">
      <c r="A9" s="146" t="s">
        <v>2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12"/>
      <c r="L9" s="153"/>
      <c r="M9" s="112"/>
      <c r="N9" s="112"/>
      <c r="O9" s="72" t="s">
        <v>85</v>
      </c>
    </row>
    <row r="10" spans="1:18" ht="18.75" customHeight="1" outlineLevel="1">
      <c r="A10" s="146" t="s">
        <v>3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83452.03</v>
      </c>
      <c r="K10" s="112"/>
      <c r="L10" s="153"/>
      <c r="M10" s="112"/>
      <c r="N10" s="112"/>
      <c r="O10" s="72" t="s">
        <v>86</v>
      </c>
    </row>
    <row r="11" spans="1:18" outlineLevel="1">
      <c r="A11" s="146" t="s">
        <v>4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251831.25</v>
      </c>
      <c r="K11" s="112"/>
      <c r="L11" s="153"/>
      <c r="M11" s="112"/>
      <c r="N11" s="112"/>
      <c r="O11" s="72" t="s">
        <v>87</v>
      </c>
    </row>
    <row r="12" spans="1:18" ht="18.75" customHeight="1" outlineLevel="1">
      <c r="A12" s="146" t="s">
        <v>5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179564.25</v>
      </c>
      <c r="K12" s="112"/>
      <c r="L12" s="153"/>
      <c r="M12" s="112"/>
      <c r="N12" s="112"/>
      <c r="O12" s="72" t="s">
        <v>88</v>
      </c>
    </row>
    <row r="13" spans="1:18" ht="18.75" customHeight="1" outlineLevel="1">
      <c r="A13" s="146" t="s">
        <v>6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72267</v>
      </c>
      <c r="K13" s="112"/>
      <c r="L13" s="153"/>
      <c r="M13" s="112"/>
      <c r="N13" s="112"/>
      <c r="O13" s="72" t="s">
        <v>89</v>
      </c>
    </row>
    <row r="14" spans="1:18" ht="18.75" customHeight="1" outlineLevel="1">
      <c r="A14" s="146" t="s">
        <v>7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12"/>
      <c r="L14" s="153"/>
      <c r="M14" s="112"/>
      <c r="N14" s="112"/>
      <c r="O14" s="72" t="s">
        <v>90</v>
      </c>
    </row>
    <row r="15" spans="1:18" ht="18.75" customHeight="1" outlineLevel="1">
      <c r="A15" s="146" t="s">
        <v>8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261446.76</v>
      </c>
      <c r="K15" s="112"/>
      <c r="L15" s="153"/>
      <c r="M15" s="112"/>
      <c r="N15" s="112"/>
      <c r="O15" s="72" t="s">
        <v>91</v>
      </c>
    </row>
    <row r="16" spans="1:18" ht="18.75" customHeight="1" outlineLevel="1">
      <c r="A16" s="146" t="s">
        <v>9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261446.76</v>
      </c>
      <c r="K16" s="112"/>
      <c r="L16" s="153"/>
      <c r="M16" s="112"/>
      <c r="N16" s="112"/>
      <c r="O16" s="72" t="s">
        <v>92</v>
      </c>
    </row>
    <row r="17" spans="1:23" ht="18.75" customHeight="1" outlineLevel="1">
      <c r="A17" s="146" t="s">
        <v>10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12"/>
      <c r="L17" s="153"/>
      <c r="M17" s="112"/>
      <c r="N17" s="112"/>
      <c r="O17" s="72" t="s">
        <v>93</v>
      </c>
    </row>
    <row r="18" spans="1:23" ht="18.75" customHeight="1" outlineLevel="1">
      <c r="A18" s="146" t="s">
        <v>11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12"/>
      <c r="L18" s="153"/>
      <c r="M18" s="112"/>
      <c r="N18" s="112"/>
      <c r="O18" s="72" t="s">
        <v>94</v>
      </c>
    </row>
    <row r="19" spans="1:23" ht="18.75" customHeight="1" outlineLevel="1">
      <c r="A19" s="146" t="s">
        <v>12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12"/>
      <c r="L19" s="153"/>
      <c r="M19" s="112"/>
      <c r="N19" s="112"/>
      <c r="O19" s="72" t="s">
        <v>95</v>
      </c>
    </row>
    <row r="20" spans="1:23" ht="18.75" customHeight="1" outlineLevel="1">
      <c r="A20" s="146" t="s">
        <v>13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12"/>
      <c r="L20" s="153"/>
      <c r="M20" s="112"/>
      <c r="N20" s="112"/>
      <c r="O20" s="72" t="s">
        <v>96</v>
      </c>
    </row>
    <row r="21" spans="1:23" ht="18.75" customHeight="1" outlineLevel="1">
      <c r="A21" s="146" t="s">
        <v>14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261446.76</v>
      </c>
      <c r="K21" s="112"/>
      <c r="L21" s="153"/>
      <c r="M21" s="112"/>
      <c r="N21" s="112"/>
      <c r="O21" s="72" t="s">
        <v>97</v>
      </c>
    </row>
    <row r="22" spans="1:23" ht="18.75" customHeight="1" outlineLevel="1">
      <c r="A22" s="146" t="s">
        <v>15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12"/>
      <c r="L22" s="153"/>
      <c r="M22" s="112"/>
      <c r="N22" s="112"/>
      <c r="O22" s="72" t="s">
        <v>98</v>
      </c>
    </row>
    <row r="23" spans="1:23" ht="18.75" customHeight="1" outlineLevel="1">
      <c r="A23" s="146" t="s">
        <v>16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12"/>
      <c r="L23" s="153"/>
      <c r="M23" s="112"/>
      <c r="N23" s="112"/>
      <c r="O23" s="72" t="s">
        <v>99</v>
      </c>
    </row>
    <row r="24" spans="1:23" ht="18.75" customHeight="1" outlineLevel="1">
      <c r="A24" s="146" t="s">
        <v>17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73836.520000000019</v>
      </c>
      <c r="K24" s="112"/>
      <c r="L24" s="153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5" t="s">
        <v>18</v>
      </c>
      <c r="B27" s="145"/>
      <c r="C27" s="145"/>
      <c r="D27" s="145"/>
      <c r="E27" s="145"/>
      <c r="F27" s="145" t="s">
        <v>19</v>
      </c>
      <c r="G27" s="145"/>
      <c r="H27" s="5" t="s">
        <v>55</v>
      </c>
      <c r="I27" s="145" t="s">
        <v>20</v>
      </c>
      <c r="J27" s="145"/>
      <c r="K27" s="112"/>
      <c r="L27" s="154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42">
        <f>VLOOKUP(A28,ПТО!$A$39:$D$53,2,FALSE)</f>
        <v>49725</v>
      </c>
      <c r="G28" s="142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2"/>
      <c r="L28" s="154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7" t="str">
        <f>ПТО!A40</f>
        <v>Работы (услуги) по управлению многоквартирным домом</v>
      </c>
      <c r="B29" s="137"/>
      <c r="C29" s="137"/>
      <c r="D29" s="137"/>
      <c r="E29" s="137"/>
      <c r="F29" s="142">
        <f>VLOOKUP(A29,ПТО!$A$39:$D$53,2,FALSE)</f>
        <v>51051</v>
      </c>
      <c r="G29" s="142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12"/>
      <c r="L29" s="154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7" t="str">
        <f>ПТО!A41</f>
        <v xml:space="preserve">Работы по содержанию земельного участка </v>
      </c>
      <c r="B30" s="137"/>
      <c r="C30" s="137"/>
      <c r="D30" s="137"/>
      <c r="E30" s="137"/>
      <c r="F30" s="142">
        <f>VLOOKUP(A30,ПТО!$A$39:$D$53,2,FALSE)</f>
        <v>26122.2</v>
      </c>
      <c r="G30" s="142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2"/>
      <c r="L30" s="154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42">
        <f>VLOOKUP(A31,ПТО!$A$39:$D$53,2,FALSE)</f>
        <v>15249</v>
      </c>
      <c r="G31" s="142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12"/>
      <c r="L31" s="154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12"/>
      <c r="L32" s="154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42">
        <f>VLOOKUP(A33,ПТО!$A$39:$D$53,2,FALSE)</f>
        <v>7823.4</v>
      </c>
      <c r="G33" s="142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12"/>
      <c r="L33" s="154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42">
        <f>VLOOKUP(A34,ПТО!$A$39:$D$53,2,FALSE)</f>
        <v>28376.400000000001</v>
      </c>
      <c r="G34" s="142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2"/>
      <c r="L34" s="154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7">
        <f>ПТО!A46</f>
        <v>0</v>
      </c>
      <c r="B35" s="137"/>
      <c r="C35" s="137"/>
      <c r="D35" s="137"/>
      <c r="E35" s="137"/>
      <c r="F35" s="142" t="e">
        <f>VLOOKUP(A35,ПТО!$A$39:$D$53,2,FALSE)</f>
        <v>#N/A</v>
      </c>
      <c r="G35" s="142"/>
      <c r="H35" s="42" t="e">
        <f>VLOOKUP(A35,ПТО!$A$39:$D$53,3,FALSE)</f>
        <v>#N/A</v>
      </c>
      <c r="I35" s="138" t="e">
        <f>VLOOKUP(A35,ПТО!$A$39:$D$53,4,FALSE)</f>
        <v>#N/A</v>
      </c>
      <c r="J35" s="138"/>
      <c r="K35" s="112"/>
      <c r="L35" s="154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12"/>
      <c r="L36" s="154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12"/>
      <c r="L37" s="154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12"/>
      <c r="L38" s="154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12"/>
      <c r="L39" s="154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12"/>
      <c r="L40" s="154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12"/>
      <c r="L41" s="154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12"/>
      <c r="L42" s="154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7" t="str">
        <f>ПТО!A2</f>
        <v>Техническое обслуживание охранной сигнализации.</v>
      </c>
      <c r="B43" s="137"/>
      <c r="C43" s="137"/>
      <c r="D43" s="137"/>
      <c r="E43" s="137"/>
      <c r="F43" s="142">
        <f>VLOOKUP(A43,ПТО!$A$2:$D$31,4,FALSE)</f>
        <v>5400</v>
      </c>
      <c r="G43" s="142"/>
      <c r="H43" s="19" t="str">
        <f>VLOOKUP(A43,ПТО!$A$2:$D$31,2,FALSE)</f>
        <v>ежемесячно</v>
      </c>
      <c r="I43" s="138">
        <f>VLOOKUP(A43,ПТО!$A$2:$D$31,3,FALSE)</f>
        <v>12</v>
      </c>
      <c r="J43" s="138"/>
      <c r="K43" s="112"/>
      <c r="L43" s="154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7" t="str">
        <f>ПТО!A3</f>
        <v>Услуги промышленных альпинистов.</v>
      </c>
      <c r="B44" s="137"/>
      <c r="C44" s="137"/>
      <c r="D44" s="137"/>
      <c r="E44" s="137"/>
      <c r="F44" s="142">
        <f>VLOOKUP(A44,ПТО!$A$2:$D$31,4,FALSE)</f>
        <v>4000</v>
      </c>
      <c r="G44" s="142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12"/>
      <c r="L44" s="154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37" t="str">
        <f>ПТО!A4</f>
        <v>Аварийный ремонт теплообменника ГВС в ИТП.</v>
      </c>
      <c r="B45" s="137"/>
      <c r="C45" s="137"/>
      <c r="D45" s="137"/>
      <c r="E45" s="137"/>
      <c r="F45" s="142">
        <f>VLOOKUP(A45,ПТО!$A$2:$D$31,4,FALSE)</f>
        <v>17868</v>
      </c>
      <c r="G45" s="142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12"/>
      <c r="L45" s="154"/>
      <c r="M45" s="119"/>
      <c r="N45" s="112"/>
      <c r="O45" s="23" t="str">
        <f t="shared" si="1"/>
        <v>Аварийный ремонт теплообменника ГВС в ИТП.</v>
      </c>
      <c r="R45" s="22" t="s">
        <v>74</v>
      </c>
    </row>
    <row r="46" spans="1:18" ht="51" customHeight="1" outlineLevel="1">
      <c r="A46" s="137" t="str">
        <f>ПТО!A5</f>
        <v>Ремонт подъезда.</v>
      </c>
      <c r="B46" s="137"/>
      <c r="C46" s="137"/>
      <c r="D46" s="137"/>
      <c r="E46" s="137"/>
      <c r="F46" s="142">
        <f>VLOOKUP(A46,ПТО!$A$2:$D$31,4,FALSE)</f>
        <v>155120</v>
      </c>
      <c r="G46" s="142"/>
      <c r="H46" s="25" t="str">
        <f>VLOOKUP(A46,ПТО!$A$2:$D$31,2,FALSE)</f>
        <v>разово</v>
      </c>
      <c r="I46" s="138">
        <f>VLOOKUP(A46,ПТО!$A$2:$D$31,3,FALSE)</f>
        <v>1</v>
      </c>
      <c r="J46" s="138"/>
      <c r="K46" s="112"/>
      <c r="L46" s="154"/>
      <c r="M46" s="119"/>
      <c r="N46" s="112"/>
      <c r="O46" s="23" t="str">
        <f t="shared" si="1"/>
        <v>Ремонт подъезда.</v>
      </c>
      <c r="R46" s="22" t="s">
        <v>74</v>
      </c>
    </row>
    <row r="47" spans="1:18" ht="51" hidden="1" customHeight="1" outlineLevel="1">
      <c r="A47" s="137">
        <f>ПТО!A6</f>
        <v>0</v>
      </c>
      <c r="B47" s="137"/>
      <c r="C47" s="137"/>
      <c r="D47" s="137"/>
      <c r="E47" s="137"/>
      <c r="F47" s="142" t="e">
        <f>VLOOKUP(A47,ПТО!$A$2:$D$31,4,FALSE)</f>
        <v>#N/A</v>
      </c>
      <c r="G47" s="142"/>
      <c r="H47" s="25" t="e">
        <f>VLOOKUP(A47,ПТО!$A$2:$D$31,2,FALSE)</f>
        <v>#N/A</v>
      </c>
      <c r="I47" s="138" t="e">
        <f>VLOOKUP(A47,ПТО!$A$2:$D$31,3,FALSE)</f>
        <v>#N/A</v>
      </c>
      <c r="J47" s="138"/>
      <c r="K47" s="112"/>
      <c r="L47" s="154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7">
        <f>ПТО!A7</f>
        <v>0</v>
      </c>
      <c r="B48" s="137"/>
      <c r="C48" s="137"/>
      <c r="D48" s="137"/>
      <c r="E48" s="137"/>
      <c r="F48" s="142" t="e">
        <f>VLOOKUP(A48,ПТО!$A$2:$D$31,4,FALSE)</f>
        <v>#N/A</v>
      </c>
      <c r="G48" s="142"/>
      <c r="H48" s="25" t="e">
        <f>VLOOKUP(A48,ПТО!$A$2:$D$31,2,FALSE)</f>
        <v>#N/A</v>
      </c>
      <c r="I48" s="138" t="e">
        <f>VLOOKUP(A48,ПТО!$A$2:$D$31,3,FALSE)</f>
        <v>#N/A</v>
      </c>
      <c r="J48" s="138"/>
      <c r="K48" s="112"/>
      <c r="L48" s="154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12"/>
      <c r="L49" s="154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2"/>
      <c r="L50" s="154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2"/>
      <c r="L51" s="154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2"/>
      <c r="L52" s="154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2"/>
      <c r="L53" s="154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2"/>
      <c r="L54" s="154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2"/>
      <c r="L55" s="154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2"/>
      <c r="L56" s="154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2"/>
      <c r="L57" s="154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2"/>
      <c r="L58" s="154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2"/>
      <c r="L59" s="154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2"/>
      <c r="L60" s="154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2"/>
      <c r="L61" s="154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2"/>
      <c r="L62" s="154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2"/>
      <c r="L63" s="154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2"/>
      <c r="L64" s="154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2"/>
      <c r="L65" s="154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2"/>
      <c r="L66" s="154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2"/>
      <c r="L67" s="154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2"/>
      <c r="L68" s="154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2"/>
      <c r="L69" s="154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2"/>
      <c r="L70" s="154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9"/>
      <c r="L71" s="154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2"/>
      <c r="L72" s="154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5" t="s">
        <v>25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2"/>
      <c r="L75" s="157"/>
      <c r="M75" s="112"/>
      <c r="N75" s="112"/>
      <c r="O75" s="72" t="s">
        <v>101</v>
      </c>
    </row>
    <row r="76" spans="1:16384" ht="18.75" customHeight="1" outlineLevel="1">
      <c r="A76" s="155" t="s">
        <v>26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2"/>
      <c r="L76" s="157"/>
      <c r="M76" s="112"/>
      <c r="N76" s="112"/>
      <c r="O76" s="72" t="s">
        <v>102</v>
      </c>
    </row>
    <row r="77" spans="1:16384" ht="21.75" customHeight="1" outlineLevel="1">
      <c r="A77" s="155" t="s">
        <v>27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2"/>
      <c r="L77" s="157"/>
      <c r="M77" s="112"/>
      <c r="N77" s="112"/>
      <c r="O77" s="72" t="s">
        <v>103</v>
      </c>
    </row>
    <row r="78" spans="1:16384" ht="18.75" customHeight="1" outlineLevel="1">
      <c r="A78" s="155" t="s">
        <v>28</v>
      </c>
      <c r="B78" s="155"/>
      <c r="C78" s="155"/>
      <c r="D78" s="155"/>
      <c r="E78" s="155"/>
      <c r="F78" s="155"/>
      <c r="G78" s="155"/>
      <c r="H78" s="155"/>
      <c r="I78" s="155"/>
      <c r="J78" s="99">
        <f>VLOOKUP(O78,АО,3,FALSE)</f>
        <v>0</v>
      </c>
      <c r="K78" s="112"/>
      <c r="L78" s="157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5" t="s">
        <v>1</v>
      </c>
      <c r="B81" s="135"/>
      <c r="C81" s="135"/>
      <c r="D81" s="135"/>
      <c r="E81" s="135"/>
      <c r="F81" s="135"/>
      <c r="G81" s="135"/>
      <c r="H81" s="135"/>
      <c r="I81" s="135"/>
      <c r="J81" s="99">
        <f t="shared" ref="J81:J90" si="2">VLOOKUP(O81,АО,3,FALSE)</f>
        <v>0</v>
      </c>
      <c r="K81" s="112"/>
      <c r="L81" s="143"/>
      <c r="M81" s="112"/>
      <c r="N81" s="112"/>
      <c r="O81" s="72" t="s">
        <v>105</v>
      </c>
    </row>
    <row r="82" spans="1:15" outlineLevel="1">
      <c r="A82" s="135" t="s">
        <v>2</v>
      </c>
      <c r="B82" s="135"/>
      <c r="C82" s="135"/>
      <c r="D82" s="135"/>
      <c r="E82" s="135"/>
      <c r="F82" s="135"/>
      <c r="G82" s="135"/>
      <c r="H82" s="135"/>
      <c r="I82" s="135"/>
      <c r="J82" s="99">
        <f t="shared" si="2"/>
        <v>0</v>
      </c>
      <c r="K82" s="112"/>
      <c r="L82" s="143"/>
      <c r="M82" s="112"/>
      <c r="N82" s="112"/>
      <c r="O82" s="72" t="s">
        <v>106</v>
      </c>
    </row>
    <row r="83" spans="1:15" outlineLevel="1">
      <c r="A83" s="149" t="s">
        <v>3</v>
      </c>
      <c r="B83" s="150"/>
      <c r="C83" s="150"/>
      <c r="D83" s="150"/>
      <c r="E83" s="150"/>
      <c r="F83" s="150"/>
      <c r="G83" s="150"/>
      <c r="H83" s="150"/>
      <c r="I83" s="151"/>
      <c r="J83" s="99">
        <f t="shared" si="2"/>
        <v>29468.62</v>
      </c>
      <c r="K83" s="112"/>
      <c r="L83" s="143"/>
      <c r="M83" s="112"/>
      <c r="N83" s="112"/>
      <c r="O83" s="72" t="s">
        <v>107</v>
      </c>
    </row>
    <row r="84" spans="1:15" outlineLevel="1">
      <c r="A84" s="149" t="s">
        <v>15</v>
      </c>
      <c r="B84" s="150"/>
      <c r="C84" s="150"/>
      <c r="D84" s="150"/>
      <c r="E84" s="150"/>
      <c r="F84" s="150"/>
      <c r="G84" s="150"/>
      <c r="H84" s="150"/>
      <c r="I84" s="151"/>
      <c r="J84" s="99">
        <f t="shared" si="2"/>
        <v>0</v>
      </c>
      <c r="K84" s="112"/>
      <c r="L84" s="143"/>
      <c r="M84" s="112"/>
      <c r="N84" s="112"/>
      <c r="O84" s="72" t="s">
        <v>108</v>
      </c>
    </row>
    <row r="85" spans="1:15" outlineLevel="1">
      <c r="A85" s="149" t="s">
        <v>16</v>
      </c>
      <c r="B85" s="150"/>
      <c r="C85" s="150"/>
      <c r="D85" s="150"/>
      <c r="E85" s="150"/>
      <c r="F85" s="150"/>
      <c r="G85" s="150"/>
      <c r="H85" s="150"/>
      <c r="I85" s="151"/>
      <c r="J85" s="99">
        <f t="shared" si="2"/>
        <v>0</v>
      </c>
      <c r="K85" s="112"/>
      <c r="L85" s="143"/>
      <c r="M85" s="112"/>
      <c r="N85" s="112"/>
      <c r="O85" s="72" t="s">
        <v>109</v>
      </c>
    </row>
    <row r="86" spans="1:15" outlineLevel="1">
      <c r="A86" s="149" t="s">
        <v>17</v>
      </c>
      <c r="B86" s="150"/>
      <c r="C86" s="150"/>
      <c r="D86" s="150"/>
      <c r="E86" s="150"/>
      <c r="F86" s="150"/>
      <c r="G86" s="150"/>
      <c r="H86" s="150"/>
      <c r="I86" s="151"/>
      <c r="J86" s="99">
        <f t="shared" si="2"/>
        <v>35313.56</v>
      </c>
      <c r="K86" s="112"/>
      <c r="L86" s="143"/>
      <c r="M86" s="112"/>
      <c r="N86" s="112"/>
      <c r="O86" s="72" t="s">
        <v>110</v>
      </c>
    </row>
    <row r="87" spans="1:15" ht="18.75" customHeight="1" outlineLevel="1">
      <c r="A87" s="149" t="s">
        <v>25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12"/>
      <c r="L87" s="143"/>
      <c r="M87" s="112"/>
      <c r="N87" s="112"/>
      <c r="O87" s="72" t="s">
        <v>111</v>
      </c>
    </row>
    <row r="88" spans="1:15" ht="18.75" customHeight="1" outlineLevel="1">
      <c r="A88" s="149" t="s">
        <v>26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12"/>
      <c r="L88" s="143"/>
      <c r="M88" s="112"/>
      <c r="N88" s="112"/>
      <c r="O88" s="72" t="s">
        <v>112</v>
      </c>
    </row>
    <row r="89" spans="1:15" ht="18.75" customHeight="1" outlineLevel="1">
      <c r="A89" s="149" t="s">
        <v>27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12"/>
      <c r="L89" s="143"/>
      <c r="M89" s="112"/>
      <c r="N89" s="112"/>
      <c r="O89" s="72" t="s">
        <v>113</v>
      </c>
    </row>
    <row r="90" spans="1:15" ht="18.75" customHeight="1" outlineLevel="1">
      <c r="A90" s="149" t="s">
        <v>28</v>
      </c>
      <c r="B90" s="150"/>
      <c r="C90" s="150"/>
      <c r="D90" s="150"/>
      <c r="E90" s="150"/>
      <c r="F90" s="150"/>
      <c r="G90" s="150"/>
      <c r="H90" s="150"/>
      <c r="I90" s="151"/>
      <c r="J90" s="99">
        <f t="shared" si="2"/>
        <v>0</v>
      </c>
      <c r="K90" s="112"/>
      <c r="L90" s="143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58" t="s">
        <v>46</v>
      </c>
      <c r="B93" s="158"/>
      <c r="C93" s="158"/>
      <c r="D93" s="159" t="s">
        <v>47</v>
      </c>
      <c r="E93" s="159"/>
      <c r="F93" s="10" t="s">
        <v>48</v>
      </c>
      <c r="G93" s="158" t="s">
        <v>49</v>
      </c>
      <c r="H93" s="158"/>
      <c r="I93" s="158"/>
      <c r="J93" s="158"/>
      <c r="K93" s="112"/>
      <c r="L93" s="112"/>
      <c r="M93" s="112"/>
      <c r="N93" s="112"/>
    </row>
    <row r="94" spans="1:15" outlineLevel="1">
      <c r="A94" s="139" t="str">
        <f>IF(VLOOKUP("эл",АО,3,FALSE)&gt;0,"Электроснабжение",0)</f>
        <v>Электроснабжение</v>
      </c>
      <c r="B94" s="139"/>
      <c r="C94" s="139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41">
        <f>VLOOKUP("эл",АО,5,FALSE)</f>
        <v>18886.29</v>
      </c>
      <c r="H94" s="140"/>
      <c r="I94" s="140"/>
      <c r="J94" s="140"/>
      <c r="K94" s="1" t="str">
        <f>VLOOKUP("эл",АО,2,FALSE)</f>
        <v>Электроснабжение</v>
      </c>
      <c r="L94" s="144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17247.75</v>
      </c>
      <c r="L95" s="144"/>
      <c r="O95" s="1" t="s">
        <v>115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21841.58</v>
      </c>
      <c r="L96" s="144"/>
      <c r="O96" s="1" t="s">
        <v>116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0</v>
      </c>
      <c r="L97" s="144"/>
      <c r="O97" s="1" t="s">
        <v>117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18886.29</v>
      </c>
      <c r="L98" s="144"/>
      <c r="O98" s="1" t="s">
        <v>118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18886.29</v>
      </c>
      <c r="L99" s="144"/>
      <c r="O99" s="1" t="s">
        <v>119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44"/>
      <c r="O100" s="1" t="s">
        <v>120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44"/>
      <c r="O101" s="1" t="s">
        <v>121</v>
      </c>
    </row>
    <row r="102" spans="1:15" ht="28.5" customHeight="1" outlineLevel="1">
      <c r="A102" s="139" t="str">
        <f>IF(VLOOKUP("хвс",АО,3,FALSE)&gt;0,"Холодное водоснабжение",0)</f>
        <v>Холодное водоснабжение</v>
      </c>
      <c r="B102" s="139"/>
      <c r="C102" s="139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41">
        <f>VLOOKUP("хвс",АО,5,FALSE)</f>
        <v>32359.9</v>
      </c>
      <c r="H102" s="140"/>
      <c r="I102" s="140"/>
      <c r="J102" s="140"/>
      <c r="L102" s="144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2323.87</v>
      </c>
      <c r="L103" s="144"/>
      <c r="O103" s="1" t="s">
        <v>124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30863.31</v>
      </c>
      <c r="L104" s="144"/>
      <c r="O104" s="1" t="s">
        <v>125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1496.5900000000001</v>
      </c>
      <c r="L105" s="144"/>
      <c r="O105" s="1" t="s">
        <v>126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32359.9</v>
      </c>
      <c r="L106" s="144"/>
      <c r="O106" s="1" t="s">
        <v>127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32359.9</v>
      </c>
      <c r="L107" s="144"/>
      <c r="O107" s="1" t="s">
        <v>128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44"/>
      <c r="O108" s="1" t="s">
        <v>129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44"/>
      <c r="O109" s="1" t="s">
        <v>130</v>
      </c>
    </row>
    <row r="110" spans="1:15" ht="27" customHeight="1" outlineLevel="1">
      <c r="A110" s="139" t="str">
        <f>IF(VLOOKUP("воо",АО,3,FALSE)&gt;0,"Водоотведение",0)</f>
        <v>Водоотведение</v>
      </c>
      <c r="B110" s="139"/>
      <c r="C110" s="139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41">
        <f>VLOOKUP("воо",АО,5,FALSE)</f>
        <v>58444.27</v>
      </c>
      <c r="H110" s="140"/>
      <c r="I110" s="140"/>
      <c r="J110" s="140"/>
      <c r="L110" s="144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3917.18</v>
      </c>
      <c r="L111" s="144"/>
      <c r="O111" s="1" t="s">
        <v>132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55288.43</v>
      </c>
      <c r="L112" s="144"/>
      <c r="O112" s="1" t="s">
        <v>133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3155.8399999999965</v>
      </c>
      <c r="L113" s="144"/>
      <c r="O113" s="1" t="s">
        <v>134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58444.27</v>
      </c>
      <c r="L114" s="144"/>
      <c r="O114" s="1" t="s">
        <v>135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58444.27</v>
      </c>
      <c r="L115" s="144"/>
      <c r="O115" s="1" t="s">
        <v>136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44"/>
      <c r="O116" s="1" t="s">
        <v>137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44"/>
      <c r="O117" s="1" t="s">
        <v>138</v>
      </c>
    </row>
    <row r="118" spans="1:15" ht="32.25" customHeight="1" outlineLevel="1">
      <c r="A118" s="139" t="str">
        <f>IF(VLOOKUP("тко",АО,3,FALSE)&gt;0,"Обращение с ТКО",0)</f>
        <v>Обращение с ТКО</v>
      </c>
      <c r="B118" s="139"/>
      <c r="C118" s="139"/>
      <c r="D118" s="140" t="str">
        <f>IF(VLOOKUP("тко",АО,3,FALSE)&gt;0,VLOOKUP("тко",АО,3,FALSE),0)</f>
        <v>Предоставляется</v>
      </c>
      <c r="E118" s="140"/>
      <c r="F118" s="13" t="str">
        <f>IF(VLOOKUP("тко",АО,3,FALSE)&gt;0,VLOOKUP("тко",АО,4,FALSE),0)</f>
        <v>куб.м.</v>
      </c>
      <c r="G118" s="141">
        <f>VLOOKUP("тко",АО,5,FALSE)</f>
        <v>42237.99</v>
      </c>
      <c r="H118" s="140"/>
      <c r="I118" s="140"/>
      <c r="J118" s="140"/>
      <c r="L118" s="49"/>
    </row>
    <row r="119" spans="1:15" ht="32.25" customHeight="1" outlineLevel="2">
      <c r="A119" s="135" t="str">
        <f t="shared" ref="A119:A125" si="8">IF(VLOOKUP("тко",АО,3,FALSE)&gt;0,VLOOKUP(O119,АО,2,FALSE),0)</f>
        <v>Общий объем потребления, нат. показ.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78.17</v>
      </c>
      <c r="L119" s="49"/>
      <c r="O119" s="1" t="s">
        <v>140</v>
      </c>
    </row>
    <row r="120" spans="1:15" ht="32.25" customHeight="1" outlineLevel="2">
      <c r="A120" s="135" t="str">
        <f t="shared" si="8"/>
        <v>Оплачено потребителями, руб.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39654.449999999997</v>
      </c>
      <c r="L120" s="49"/>
      <c r="O120" s="1" t="s">
        <v>141</v>
      </c>
    </row>
    <row r="121" spans="1:15" ht="32.25" customHeight="1" outlineLevel="2">
      <c r="A121" s="135" t="str">
        <f t="shared" si="8"/>
        <v>Задолженность потребителей, руб.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2583.5400000000009</v>
      </c>
      <c r="L121" s="49"/>
      <c r="O121" s="1" t="s">
        <v>142</v>
      </c>
    </row>
    <row r="122" spans="1:15" ht="32.25" customHeight="1" outlineLevel="2">
      <c r="A122" s="135" t="str">
        <f t="shared" si="8"/>
        <v>Начислено поставщиком (поставщиками) коммунального ресурса, руб.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42237.99</v>
      </c>
      <c r="L122" s="49"/>
      <c r="O122" s="1" t="s">
        <v>143</v>
      </c>
    </row>
    <row r="123" spans="1:15" ht="32.25" customHeight="1" outlineLevel="2">
      <c r="A123" s="135" t="str">
        <f t="shared" si="8"/>
        <v>Оплачено поставщику (поставщикам) коммунального ресурса, руб.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42237.99</v>
      </c>
      <c r="L123" s="49"/>
      <c r="O123" s="1" t="s">
        <v>144</v>
      </c>
    </row>
    <row r="124" spans="1:15" ht="32.25" customHeight="1" outlineLevel="2">
      <c r="A124" s="135" t="str">
        <f t="shared" si="8"/>
        <v>Задолженность перед поставщиком (поставщиками) коммунального ресурса, руб.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5" t="str">
        <f t="shared" si="8"/>
        <v>Размер пени и штрафов, уплаченных поставщику (поставщикам) коммунального ресурса, руб.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39" t="str">
        <f>IF(VLOOKUP("гвс",АО,3,FALSE)&gt;0,"Горячее водоснабжение",0)</f>
        <v>Горячее водоснабжение</v>
      </c>
      <c r="B126" s="139"/>
      <c r="C126" s="139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41">
        <f>VLOOKUP("гвс",АО,5,FALSE)</f>
        <v>22197.87</v>
      </c>
      <c r="H126" s="140"/>
      <c r="I126" s="140"/>
      <c r="J126" s="140"/>
      <c r="L126" s="49"/>
    </row>
    <row r="127" spans="1:15" ht="32.25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1594.1</v>
      </c>
      <c r="L127" s="49"/>
      <c r="O127" s="1" t="s">
        <v>148</v>
      </c>
    </row>
    <row r="128" spans="1:15" ht="32.25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20633.61</v>
      </c>
      <c r="L128" s="49"/>
      <c r="O128" s="1" t="s">
        <v>149</v>
      </c>
    </row>
    <row r="129" spans="1:15" ht="32.25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1564.2599999999984</v>
      </c>
      <c r="L129" s="49"/>
      <c r="O129" s="1" t="s">
        <v>150</v>
      </c>
    </row>
    <row r="130" spans="1:15" ht="32.25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22197.87</v>
      </c>
      <c r="L130" s="49"/>
      <c r="O130" s="1" t="s">
        <v>151</v>
      </c>
    </row>
    <row r="131" spans="1:15" ht="32.25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22197.87</v>
      </c>
      <c r="L131" s="49"/>
      <c r="O131" s="1" t="s">
        <v>152</v>
      </c>
    </row>
    <row r="132" spans="1:15" ht="32.25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39">
        <f>IF(VLOOKUP("отопление",АО,3,FALSE)&gt;0,"Отопление",0)</f>
        <v>0</v>
      </c>
      <c r="B134" s="139"/>
      <c r="C134" s="139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0"/>
      <c r="I134" s="140"/>
      <c r="J134" s="140"/>
      <c r="L134" s="49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5" t="s">
        <v>43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0</v>
      </c>
      <c r="O144" t="s">
        <v>172</v>
      </c>
    </row>
    <row r="145" spans="1:15" ht="18.75" customHeight="1" outlineLevel="1">
      <c r="A145" s="135" t="s">
        <v>44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5" t="s">
        <v>175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0</v>
      </c>
      <c r="O146" t="s">
        <v>174</v>
      </c>
    </row>
    <row r="149" spans="1:15" ht="52.5" customHeight="1">
      <c r="A149" s="160" t="s">
        <v>191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192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2" t="s">
        <v>69</v>
      </c>
      <c r="B154" s="162"/>
      <c r="C154" s="162"/>
      <c r="D154" s="162"/>
      <c r="E154" s="27">
        <f>ПТО!G1</f>
        <v>-148651.57</v>
      </c>
    </row>
    <row r="155" spans="1:15" ht="34.5" customHeight="1">
      <c r="A155" s="161" t="s">
        <v>70</v>
      </c>
      <c r="B155" s="161"/>
      <c r="C155" s="161"/>
      <c r="D155" s="161"/>
      <c r="E155" s="28">
        <f>J13</f>
        <v>72267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18</v>
      </c>
      <c r="B157" s="145"/>
      <c r="C157" s="145"/>
      <c r="D157" s="145"/>
      <c r="E157" s="145"/>
      <c r="F157" s="145" t="s">
        <v>19</v>
      </c>
      <c r="G157" s="145"/>
      <c r="H157" s="20" t="s">
        <v>55</v>
      </c>
      <c r="I157" s="145" t="s">
        <v>20</v>
      </c>
      <c r="J157" s="145"/>
    </row>
    <row r="158" spans="1:15" ht="29.25" customHeight="1">
      <c r="A158" s="137" t="str">
        <f t="shared" ref="A158:A163" si="14">IF(N158&gt;0,N158,0)</f>
        <v>Техническое обслуживание охранной сигнализации.</v>
      </c>
      <c r="B158" s="137"/>
      <c r="C158" s="137"/>
      <c r="D158" s="137"/>
      <c r="E158" s="137"/>
      <c r="F158" s="142">
        <f t="shared" ref="F158:F163" si="15">IF(ISERROR(VLOOKUP(A158,$A$28:$J$72,6,FALSE)),0,VLOOKUP(A158,$A$28:$J$72,6,FALSE))</f>
        <v>5400</v>
      </c>
      <c r="G158" s="142"/>
      <c r="H158" s="24" t="str">
        <f t="shared" ref="H158:H187" si="16">VLOOKUP(A158,$A$28:$J$72,8,FALSE)</f>
        <v>ежемесячно</v>
      </c>
      <c r="I158" s="138">
        <f t="shared" ref="I158:I161" si="17">VLOOKUP(A158,$A$28:$J$72,9,FALSE)</f>
        <v>12</v>
      </c>
      <c r="J158" s="138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7" t="str">
        <f t="shared" si="14"/>
        <v>Услуги промышленных альпинистов.</v>
      </c>
      <c r="B159" s="137"/>
      <c r="C159" s="137"/>
      <c r="D159" s="137"/>
      <c r="E159" s="137"/>
      <c r="F159" s="142">
        <f t="shared" si="15"/>
        <v>4000</v>
      </c>
      <c r="G159" s="142"/>
      <c r="H159" s="24" t="str">
        <f t="shared" si="16"/>
        <v>разово</v>
      </c>
      <c r="I159" s="138">
        <f t="shared" si="17"/>
        <v>1</v>
      </c>
      <c r="J159" s="138"/>
      <c r="M159" s="22" t="s">
        <v>74</v>
      </c>
      <c r="N159" s="1" t="str">
        <v>Услуги промышленных альпинистов.</v>
      </c>
    </row>
    <row r="160" spans="1:15" ht="28.5" customHeight="1">
      <c r="A160" s="137" t="str">
        <f t="shared" si="14"/>
        <v>Аварийный ремонт теплообменника ГВС в ИТП.</v>
      </c>
      <c r="B160" s="137"/>
      <c r="C160" s="137"/>
      <c r="D160" s="137"/>
      <c r="E160" s="137"/>
      <c r="F160" s="142">
        <f t="shared" si="15"/>
        <v>17868</v>
      </c>
      <c r="G160" s="142"/>
      <c r="H160" s="24" t="str">
        <f t="shared" si="16"/>
        <v>разово</v>
      </c>
      <c r="I160" s="138">
        <f t="shared" si="17"/>
        <v>1</v>
      </c>
      <c r="J160" s="138"/>
      <c r="M160" s="22" t="s">
        <v>74</v>
      </c>
      <c r="N160" s="1" t="str">
        <v>Аварийный ремонт теплообменника ГВС в ИТП.</v>
      </c>
    </row>
    <row r="161" spans="1:14" ht="28.5" customHeight="1">
      <c r="A161" s="137" t="str">
        <f>IF(N161&gt;0,N161,0)</f>
        <v>Ремонт подъезда.</v>
      </c>
      <c r="B161" s="137"/>
      <c r="C161" s="137"/>
      <c r="D161" s="137"/>
      <c r="E161" s="137"/>
      <c r="F161" s="142">
        <f t="shared" si="15"/>
        <v>155120</v>
      </c>
      <c r="G161" s="142"/>
      <c r="H161" s="24" t="str">
        <f t="shared" si="16"/>
        <v>разово</v>
      </c>
      <c r="I161" s="138">
        <f t="shared" si="17"/>
        <v>1</v>
      </c>
      <c r="J161" s="138"/>
      <c r="M161" s="22" t="s">
        <v>74</v>
      </c>
      <c r="N161" s="1" t="str">
        <v>Ремонт подъезда.</v>
      </c>
    </row>
    <row r="162" spans="1:14" ht="28.5" hidden="1" customHeight="1">
      <c r="A162" s="137">
        <f t="shared" si="14"/>
        <v>0</v>
      </c>
      <c r="B162" s="137"/>
      <c r="C162" s="137"/>
      <c r="D162" s="137"/>
      <c r="E162" s="137"/>
      <c r="F162" s="142">
        <f t="shared" si="15"/>
        <v>0</v>
      </c>
      <c r="G162" s="142"/>
      <c r="H162" s="24" t="e">
        <f t="shared" si="16"/>
        <v>#N/A</v>
      </c>
      <c r="I162" s="138" t="e">
        <f>VLOOKUP(A162,$A$28:$J$72,9,FALSE)</f>
        <v>#N/A</v>
      </c>
      <c r="J162" s="138"/>
      <c r="M162" s="22" t="s">
        <v>74</v>
      </c>
      <c r="N162" s="1">
        <v>0</v>
      </c>
    </row>
    <row r="163" spans="1:14" ht="28.5" hidden="1" customHeight="1">
      <c r="A163" s="137">
        <f t="shared" si="14"/>
        <v>0</v>
      </c>
      <c r="B163" s="137"/>
      <c r="C163" s="137"/>
      <c r="D163" s="137"/>
      <c r="E163" s="137"/>
      <c r="F163" s="142">
        <f t="shared" si="15"/>
        <v>0</v>
      </c>
      <c r="G163" s="142"/>
      <c r="H163" s="24" t="e">
        <f t="shared" si="16"/>
        <v>#N/A</v>
      </c>
      <c r="I163" s="138" t="e">
        <f>VLOOKUP(A163,$A$28:$J$72,9,FALSE)</f>
        <v>#N/A</v>
      </c>
      <c r="J163" s="138"/>
      <c r="M163" s="22" t="s">
        <v>74</v>
      </c>
      <c r="N163" s="1">
        <v>0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74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42">
        <f t="shared" si="19"/>
        <v>0</v>
      </c>
      <c r="G165" s="142"/>
      <c r="H165" s="29" t="e">
        <f t="shared" si="16"/>
        <v>#N/A</v>
      </c>
      <c r="I165" s="138" t="e">
        <f t="shared" si="20"/>
        <v>#N/A</v>
      </c>
      <c r="J165" s="138"/>
      <c r="M165" s="22" t="s">
        <v>74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42">
        <f t="shared" si="19"/>
        <v>0</v>
      </c>
      <c r="G166" s="142"/>
      <c r="H166" s="29" t="e">
        <f t="shared" si="16"/>
        <v>#N/A</v>
      </c>
      <c r="I166" s="138" t="e">
        <f t="shared" si="20"/>
        <v>#N/A</v>
      </c>
      <c r="J166" s="138"/>
      <c r="M166" s="22" t="s">
        <v>74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42">
        <f t="shared" si="19"/>
        <v>0</v>
      </c>
      <c r="G167" s="142"/>
      <c r="H167" s="29" t="e">
        <f t="shared" si="16"/>
        <v>#N/A</v>
      </c>
      <c r="I167" s="138" t="e">
        <f t="shared" si="20"/>
        <v>#N/A</v>
      </c>
      <c r="J167" s="138"/>
      <c r="M167" s="22" t="s">
        <v>74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42">
        <f t="shared" si="19"/>
        <v>0</v>
      </c>
      <c r="G168" s="142"/>
      <c r="H168" s="29" t="e">
        <f t="shared" si="16"/>
        <v>#N/A</v>
      </c>
      <c r="I168" s="138" t="e">
        <f t="shared" si="20"/>
        <v>#N/A</v>
      </c>
      <c r="J168" s="138"/>
      <c r="M168" s="22" t="s">
        <v>74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42">
        <f t="shared" si="19"/>
        <v>0</v>
      </c>
      <c r="G169" s="142"/>
      <c r="H169" s="29" t="e">
        <f t="shared" si="16"/>
        <v>#N/A</v>
      </c>
      <c r="I169" s="138" t="e">
        <f t="shared" si="20"/>
        <v>#N/A</v>
      </c>
      <c r="J169" s="138"/>
      <c r="M169" s="22" t="s">
        <v>74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42">
        <f t="shared" si="19"/>
        <v>0</v>
      </c>
      <c r="G170" s="142"/>
      <c r="H170" s="29" t="e">
        <f t="shared" si="16"/>
        <v>#N/A</v>
      </c>
      <c r="I170" s="138" t="e">
        <f t="shared" si="20"/>
        <v>#N/A</v>
      </c>
      <c r="J170" s="138"/>
      <c r="M170" s="22" t="s">
        <v>74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42">
        <f t="shared" si="19"/>
        <v>0</v>
      </c>
      <c r="G171" s="142"/>
      <c r="H171" s="29" t="e">
        <f t="shared" si="16"/>
        <v>#N/A</v>
      </c>
      <c r="I171" s="138" t="e">
        <f t="shared" si="20"/>
        <v>#N/A</v>
      </c>
      <c r="J171" s="138"/>
      <c r="M171" s="22" t="s">
        <v>74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42">
        <f t="shared" si="19"/>
        <v>0</v>
      </c>
      <c r="G172" s="142"/>
      <c r="H172" s="29" t="e">
        <f t="shared" si="16"/>
        <v>#N/A</v>
      </c>
      <c r="I172" s="138" t="e">
        <f t="shared" si="20"/>
        <v>#N/A</v>
      </c>
      <c r="J172" s="138"/>
      <c r="M172" s="22" t="s">
        <v>74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42">
        <f t="shared" si="19"/>
        <v>0</v>
      </c>
      <c r="G173" s="142"/>
      <c r="H173" s="29" t="e">
        <f t="shared" si="16"/>
        <v>#N/A</v>
      </c>
      <c r="I173" s="138" t="e">
        <f t="shared" si="20"/>
        <v>#N/A</v>
      </c>
      <c r="J173" s="138"/>
      <c r="M173" s="22" t="s">
        <v>74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42">
        <f t="shared" si="19"/>
        <v>0</v>
      </c>
      <c r="G174" s="142"/>
      <c r="H174" s="29" t="e">
        <f t="shared" si="16"/>
        <v>#N/A</v>
      </c>
      <c r="I174" s="138" t="e">
        <f t="shared" si="20"/>
        <v>#N/A</v>
      </c>
      <c r="J174" s="138"/>
      <c r="M174" s="22" t="s">
        <v>74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42">
        <f t="shared" si="19"/>
        <v>0</v>
      </c>
      <c r="G175" s="142"/>
      <c r="H175" s="29" t="e">
        <f t="shared" si="16"/>
        <v>#N/A</v>
      </c>
      <c r="I175" s="138" t="e">
        <f t="shared" si="20"/>
        <v>#N/A</v>
      </c>
      <c r="J175" s="138"/>
      <c r="M175" s="22" t="s">
        <v>74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42">
        <f t="shared" si="19"/>
        <v>0</v>
      </c>
      <c r="G176" s="142"/>
      <c r="H176" s="29" t="e">
        <f t="shared" si="16"/>
        <v>#N/A</v>
      </c>
      <c r="I176" s="138" t="e">
        <f t="shared" si="20"/>
        <v>#N/A</v>
      </c>
      <c r="J176" s="138"/>
      <c r="M176" s="22" t="s">
        <v>74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42">
        <f t="shared" si="19"/>
        <v>0</v>
      </c>
      <c r="G177" s="142"/>
      <c r="H177" s="29" t="e">
        <f t="shared" si="16"/>
        <v>#N/A</v>
      </c>
      <c r="I177" s="138" t="e">
        <f t="shared" si="20"/>
        <v>#N/A</v>
      </c>
      <c r="J177" s="138"/>
      <c r="M177" s="22" t="s">
        <v>74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42">
        <f t="shared" si="19"/>
        <v>0</v>
      </c>
      <c r="G178" s="142"/>
      <c r="H178" s="29" t="e">
        <f t="shared" si="16"/>
        <v>#N/A</v>
      </c>
      <c r="I178" s="138" t="e">
        <f t="shared" si="20"/>
        <v>#N/A</v>
      </c>
      <c r="J178" s="138"/>
      <c r="M178" s="22" t="s">
        <v>74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42">
        <f t="shared" si="19"/>
        <v>0</v>
      </c>
      <c r="G179" s="142"/>
      <c r="H179" s="29" t="e">
        <f t="shared" si="16"/>
        <v>#N/A</v>
      </c>
      <c r="I179" s="138" t="e">
        <f t="shared" si="20"/>
        <v>#N/A</v>
      </c>
      <c r="J179" s="138"/>
      <c r="M179" s="22" t="s">
        <v>74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42">
        <f t="shared" si="19"/>
        <v>0</v>
      </c>
      <c r="G180" s="142"/>
      <c r="H180" s="29" t="e">
        <f t="shared" si="16"/>
        <v>#N/A</v>
      </c>
      <c r="I180" s="138" t="e">
        <f t="shared" si="20"/>
        <v>#N/A</v>
      </c>
      <c r="J180" s="138"/>
      <c r="M180" s="22" t="s">
        <v>74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42">
        <f t="shared" si="19"/>
        <v>0</v>
      </c>
      <c r="G181" s="142"/>
      <c r="H181" s="29" t="e">
        <f t="shared" si="16"/>
        <v>#N/A</v>
      </c>
      <c r="I181" s="138" t="e">
        <f t="shared" si="20"/>
        <v>#N/A</v>
      </c>
      <c r="J181" s="138"/>
      <c r="M181" s="22" t="s">
        <v>74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42">
        <f t="shared" si="19"/>
        <v>0</v>
      </c>
      <c r="G182" s="142"/>
      <c r="H182" s="29" t="e">
        <f t="shared" si="16"/>
        <v>#N/A</v>
      </c>
      <c r="I182" s="138" t="e">
        <f t="shared" si="20"/>
        <v>#N/A</v>
      </c>
      <c r="J182" s="138"/>
      <c r="M182" s="22" t="s">
        <v>74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42">
        <f t="shared" si="19"/>
        <v>0</v>
      </c>
      <c r="G183" s="142"/>
      <c r="H183" s="29" t="e">
        <f t="shared" si="16"/>
        <v>#N/A</v>
      </c>
      <c r="I183" s="138" t="e">
        <f t="shared" si="20"/>
        <v>#N/A</v>
      </c>
      <c r="J183" s="138"/>
      <c r="M183" s="22" t="s">
        <v>74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42">
        <f t="shared" si="19"/>
        <v>0</v>
      </c>
      <c r="G184" s="142"/>
      <c r="H184" s="29" t="e">
        <f t="shared" si="16"/>
        <v>#N/A</v>
      </c>
      <c r="I184" s="138" t="e">
        <f t="shared" si="20"/>
        <v>#N/A</v>
      </c>
      <c r="J184" s="138"/>
      <c r="M184" s="22" t="s">
        <v>74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42">
        <f t="shared" si="19"/>
        <v>0</v>
      </c>
      <c r="G185" s="142"/>
      <c r="H185" s="29" t="e">
        <f t="shared" si="16"/>
        <v>#N/A</v>
      </c>
      <c r="I185" s="138" t="e">
        <f t="shared" si="20"/>
        <v>#N/A</v>
      </c>
      <c r="J185" s="138"/>
      <c r="M185" s="22" t="s">
        <v>74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42">
        <f t="shared" si="19"/>
        <v>0</v>
      </c>
      <c r="G186" s="142"/>
      <c r="H186" s="29" t="e">
        <f t="shared" si="16"/>
        <v>#N/A</v>
      </c>
      <c r="I186" s="138" t="e">
        <f t="shared" si="20"/>
        <v>#N/A</v>
      </c>
      <c r="J186" s="138"/>
      <c r="M186" s="22" t="s">
        <v>74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42">
        <f t="shared" si="19"/>
        <v>0</v>
      </c>
      <c r="G187" s="142"/>
      <c r="H187" s="29" t="e">
        <f t="shared" si="16"/>
        <v>#N/A</v>
      </c>
      <c r="I187" s="138" t="e">
        <f t="shared" si="20"/>
        <v>#N/A</v>
      </c>
      <c r="J187" s="138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62" t="s">
        <v>71</v>
      </c>
      <c r="B190" s="162"/>
      <c r="C190" s="162"/>
      <c r="D190" s="162"/>
      <c r="E190" s="27">
        <f>SUM(F158:G187)</f>
        <v>182388</v>
      </c>
    </row>
    <row r="191" spans="1:14" ht="51.75" customHeight="1">
      <c r="A191" s="162" t="s">
        <v>72</v>
      </c>
      <c r="B191" s="162"/>
      <c r="C191" s="162"/>
      <c r="D191" s="162"/>
      <c r="E191" s="27">
        <f>E190+E154-E155</f>
        <v>-38530.570000000007</v>
      </c>
    </row>
    <row r="192" spans="1:14">
      <c r="A192" s="107" t="s">
        <v>176</v>
      </c>
    </row>
    <row r="193" spans="1:10" ht="62.25" customHeight="1">
      <c r="A193" s="136" t="s">
        <v>75</v>
      </c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1:10">
      <c r="A194" s="134" t="str">
        <f>ПТО!F12</f>
        <v xml:space="preserve">  -  поверка (замена) манометров и термометров</v>
      </c>
      <c r="B194" s="134"/>
      <c r="C194" s="134"/>
      <c r="D194" s="134"/>
      <c r="E194" s="134"/>
      <c r="F194" s="134"/>
      <c r="G194" s="134"/>
      <c r="H194" s="51">
        <f>ПТО!G12</f>
        <v>1200</v>
      </c>
      <c r="I194" s="52" t="s">
        <v>77</v>
      </c>
    </row>
    <row r="195" spans="1:10" ht="18.75" customHeight="1">
      <c r="A195" s="134" t="str">
        <f>ПТО!F13</f>
        <v xml:space="preserve">  -  техническое обслуживание охранной сигнализации</v>
      </c>
      <c r="B195" s="134"/>
      <c r="C195" s="134"/>
      <c r="D195" s="134"/>
      <c r="E195" s="134"/>
      <c r="F195" s="134"/>
      <c r="G195" s="134"/>
      <c r="H195" s="51">
        <f>ПТО!G13</f>
        <v>5400</v>
      </c>
      <c r="I195" s="52" t="s">
        <v>77</v>
      </c>
    </row>
    <row r="196" spans="1:10" ht="18.75" customHeight="1">
      <c r="A196" s="134" t="str">
        <f>ПТО!F14</f>
        <v xml:space="preserve">  -  работы по выбору (решению) общего собрания или совета дома</v>
      </c>
      <c r="B196" s="134"/>
      <c r="C196" s="134"/>
      <c r="D196" s="134"/>
      <c r="E196" s="134"/>
      <c r="F196" s="134"/>
      <c r="G196" s="134"/>
      <c r="H196" s="51">
        <f>ПТО!G14</f>
        <v>100000</v>
      </c>
      <c r="I196" s="52" t="s">
        <v>77</v>
      </c>
    </row>
    <row r="197" spans="1:10" ht="18.75" hidden="1" customHeight="1">
      <c r="A197" s="134">
        <f>ПТО!F15</f>
        <v>0</v>
      </c>
      <c r="B197" s="134"/>
      <c r="C197" s="134"/>
      <c r="D197" s="134"/>
      <c r="E197" s="134"/>
      <c r="F197" s="134"/>
      <c r="G197" s="134"/>
      <c r="H197" s="51">
        <f>ПТО!G15</f>
        <v>0</v>
      </c>
      <c r="I197" s="52" t="s">
        <v>77</v>
      </c>
    </row>
    <row r="198" spans="1:10" ht="18.75" hidden="1" customHeight="1">
      <c r="A198" s="134">
        <f>ПТО!F16</f>
        <v>0</v>
      </c>
      <c r="B198" s="134"/>
      <c r="C198" s="134"/>
      <c r="D198" s="134"/>
      <c r="E198" s="134"/>
      <c r="F198" s="134"/>
      <c r="G198" s="134"/>
      <c r="H198" s="51">
        <f>ПТО!G16</f>
        <v>0</v>
      </c>
      <c r="I198" s="54" t="s">
        <v>77</v>
      </c>
    </row>
    <row r="199" spans="1:10" ht="18.75" hidden="1" customHeight="1">
      <c r="A199" s="134">
        <f>ПТО!F17</f>
        <v>0</v>
      </c>
      <c r="B199" s="134"/>
      <c r="C199" s="134"/>
      <c r="D199" s="134"/>
      <c r="E199" s="134"/>
      <c r="F199" s="134"/>
      <c r="G199" s="134"/>
      <c r="H199" s="51">
        <f>ПТО!G17</f>
        <v>0</v>
      </c>
      <c r="I199" s="52" t="s">
        <v>77</v>
      </c>
    </row>
    <row r="200" spans="1:10" hidden="1">
      <c r="A200" s="134">
        <f>ПТО!F18</f>
        <v>0</v>
      </c>
      <c r="B200" s="134"/>
      <c r="C200" s="134"/>
      <c r="D200" s="134"/>
      <c r="E200" s="134"/>
      <c r="F200" s="134"/>
      <c r="G200" s="134"/>
      <c r="H200" s="51">
        <f>ПТО!G18</f>
        <v>0</v>
      </c>
      <c r="I200" s="52" t="s">
        <v>77</v>
      </c>
    </row>
    <row r="201" spans="1:10" hidden="1">
      <c r="A201" s="134">
        <f>ПТО!F19</f>
        <v>0</v>
      </c>
      <c r="B201" s="134"/>
      <c r="C201" s="134"/>
      <c r="D201" s="134"/>
      <c r="E201" s="134"/>
      <c r="F201" s="134"/>
      <c r="G201" s="134"/>
      <c r="H201" s="51">
        <f>ПТО!G19</f>
        <v>0</v>
      </c>
      <c r="I201" s="52" t="s">
        <v>77</v>
      </c>
    </row>
    <row r="202" spans="1:10" hidden="1">
      <c r="A202" s="134">
        <f>ПТО!F20</f>
        <v>0</v>
      </c>
      <c r="B202" s="134"/>
      <c r="C202" s="134"/>
      <c r="D202" s="134"/>
      <c r="E202" s="134"/>
      <c r="F202" s="134"/>
      <c r="G202" s="134"/>
      <c r="H202" s="51">
        <f>ПТО!G20</f>
        <v>0</v>
      </c>
      <c r="I202" s="52" t="s">
        <v>77</v>
      </c>
    </row>
    <row r="203" spans="1:10" hidden="1">
      <c r="A203" s="134">
        <f>ПТО!F21</f>
        <v>0</v>
      </c>
      <c r="B203" s="134"/>
      <c r="C203" s="134"/>
      <c r="D203" s="134"/>
      <c r="E203" s="134"/>
      <c r="F203" s="134"/>
      <c r="G203" s="134"/>
      <c r="H203" s="51">
        <f>ПТО!G21</f>
        <v>0</v>
      </c>
      <c r="I203" s="52" t="s">
        <v>77</v>
      </c>
    </row>
    <row r="204" spans="1:10" hidden="1">
      <c r="A204" s="134">
        <f>ПТО!F22</f>
        <v>0</v>
      </c>
      <c r="B204" s="134"/>
      <c r="C204" s="134"/>
      <c r="D204" s="134"/>
      <c r="E204" s="134"/>
      <c r="F204" s="134"/>
      <c r="G204" s="134"/>
      <c r="H204" s="51">
        <f>ПТО!G22</f>
        <v>0</v>
      </c>
      <c r="I204" s="52" t="s">
        <v>77</v>
      </c>
    </row>
    <row r="205" spans="1:10" hidden="1">
      <c r="A205" s="134">
        <f>ПТО!F23</f>
        <v>0</v>
      </c>
      <c r="B205" s="134"/>
      <c r="C205" s="134"/>
      <c r="D205" s="134"/>
      <c r="E205" s="134"/>
      <c r="F205" s="134"/>
      <c r="G205" s="134"/>
      <c r="H205" s="51">
        <f>ПТО!G23</f>
        <v>0</v>
      </c>
      <c r="I205" s="52" t="s">
        <v>77</v>
      </c>
    </row>
    <row r="206" spans="1:10" hidden="1">
      <c r="A206" s="134">
        <f>ПТО!F24</f>
        <v>0</v>
      </c>
      <c r="B206" s="134"/>
      <c r="C206" s="134"/>
      <c r="D206" s="134"/>
      <c r="E206" s="134"/>
      <c r="F206" s="134"/>
      <c r="G206" s="134"/>
      <c r="H206" s="51">
        <f>ПТО!G24</f>
        <v>0</v>
      </c>
      <c r="I206" s="52" t="s">
        <v>77</v>
      </c>
    </row>
    <row r="207" spans="1:10" hidden="1">
      <c r="A207" s="134">
        <f>ПТО!F25</f>
        <v>0</v>
      </c>
      <c r="B207" s="134"/>
      <c r="C207" s="134"/>
      <c r="D207" s="134"/>
      <c r="E207" s="134"/>
      <c r="F207" s="134"/>
      <c r="G207" s="134"/>
      <c r="H207" s="51">
        <f>ПТО!G25</f>
        <v>0</v>
      </c>
      <c r="I207" s="52" t="s">
        <v>77</v>
      </c>
    </row>
    <row r="208" spans="1:10" hidden="1">
      <c r="A208" s="134">
        <f>ПТО!F26</f>
        <v>0</v>
      </c>
      <c r="B208" s="134"/>
      <c r="C208" s="134"/>
      <c r="D208" s="134"/>
      <c r="E208" s="134"/>
      <c r="F208" s="134"/>
      <c r="G208" s="134"/>
      <c r="H208" s="51">
        <f>ПТО!G26</f>
        <v>0</v>
      </c>
      <c r="I208" s="52" t="s">
        <v>77</v>
      </c>
    </row>
    <row r="209" spans="1:9" hidden="1">
      <c r="A209" s="134">
        <f>ПТО!F27</f>
        <v>0</v>
      </c>
      <c r="B209" s="134"/>
      <c r="C209" s="134"/>
      <c r="D209" s="134"/>
      <c r="E209" s="134"/>
      <c r="F209" s="134"/>
      <c r="G209" s="134"/>
      <c r="H209" s="51">
        <f>ПТО!G27</f>
        <v>0</v>
      </c>
      <c r="I209" s="52" t="s">
        <v>77</v>
      </c>
    </row>
    <row r="210" spans="1:9" hidden="1">
      <c r="A210" s="134">
        <f>ПТО!F28</f>
        <v>0</v>
      </c>
      <c r="B210" s="134"/>
      <c r="C210" s="134"/>
      <c r="D210" s="134"/>
      <c r="E210" s="134"/>
      <c r="F210" s="134"/>
      <c r="G210" s="134"/>
      <c r="H210" s="51">
        <f>ПТО!G28</f>
        <v>0</v>
      </c>
      <c r="I210" s="52" t="s">
        <v>77</v>
      </c>
    </row>
    <row r="211" spans="1:9" hidden="1">
      <c r="A211" s="134">
        <f>ПТО!F29</f>
        <v>0</v>
      </c>
      <c r="B211" s="134"/>
      <c r="C211" s="134"/>
      <c r="D211" s="134"/>
      <c r="E211" s="134"/>
      <c r="F211" s="134"/>
      <c r="G211" s="134"/>
      <c r="H211" s="51">
        <f>ПТО!G29</f>
        <v>0</v>
      </c>
      <c r="I211" s="52" t="s">
        <v>77</v>
      </c>
    </row>
    <row r="212" spans="1:9" hidden="1">
      <c r="A212" s="134">
        <f>ПТО!F30</f>
        <v>0</v>
      </c>
      <c r="B212" s="134"/>
      <c r="C212" s="134"/>
      <c r="D212" s="134"/>
      <c r="E212" s="134"/>
      <c r="F212" s="134"/>
      <c r="G212" s="134"/>
      <c r="H212" s="51">
        <f>ПТО!G30</f>
        <v>0</v>
      </c>
      <c r="I212" s="52" t="s">
        <v>77</v>
      </c>
    </row>
    <row r="213" spans="1:9" hidden="1">
      <c r="A213" s="134">
        <f>ПТО!F31</f>
        <v>0</v>
      </c>
      <c r="B213" s="134"/>
      <c r="C213" s="134"/>
      <c r="D213" s="134"/>
      <c r="E213" s="134"/>
      <c r="F213" s="134"/>
      <c r="G213" s="134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106600</v>
      </c>
      <c r="I214" s="58" t="s">
        <v>79</v>
      </c>
    </row>
  </sheetData>
  <sheetProtection algorithmName="SHA-512" hashValue="55INzPkdhBPTuwit27qn7lHDQGObKmf/rHPWBpQHfdgtSQNz/jGQf9yGLIJhHSJ6gIMqWiWImTJ0vP3gjfe5PA==" saltValue="k50rZpOkuTlL+czCz7eKl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38" sqref="F3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-148651.57</f>
        <v>-148651.57</v>
      </c>
    </row>
    <row r="2" spans="1:12" ht="18.75" customHeight="1">
      <c r="A2" s="133" t="s">
        <v>189</v>
      </c>
      <c r="B2" s="125" t="s">
        <v>180</v>
      </c>
      <c r="C2" s="123">
        <v>12</v>
      </c>
      <c r="D2" s="121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179</v>
      </c>
      <c r="B3" s="125" t="s">
        <v>181</v>
      </c>
      <c r="C3" s="123">
        <v>1</v>
      </c>
      <c r="D3" s="122">
        <v>4000</v>
      </c>
      <c r="E3" s="124" t="s">
        <v>182</v>
      </c>
      <c r="F3" s="30"/>
      <c r="G3" s="30"/>
      <c r="L3" s="33" t="str">
        <f t="shared" si="0"/>
        <v>ТР</v>
      </c>
    </row>
    <row r="4" spans="1:12" ht="18.75" customHeight="1">
      <c r="A4" s="127" t="s">
        <v>183</v>
      </c>
      <c r="B4" s="128" t="s">
        <v>181</v>
      </c>
      <c r="C4" s="129">
        <v>1</v>
      </c>
      <c r="D4" s="130">
        <v>17868</v>
      </c>
      <c r="E4" s="127" t="s">
        <v>184</v>
      </c>
      <c r="F4" s="30"/>
      <c r="G4" s="30"/>
      <c r="L4" s="33" t="str">
        <f t="shared" si="0"/>
        <v>ТР</v>
      </c>
    </row>
    <row r="5" spans="1:12" ht="18.75" customHeight="1">
      <c r="A5" s="46" t="s">
        <v>186</v>
      </c>
      <c r="B5" s="131" t="s">
        <v>181</v>
      </c>
      <c r="C5" s="43">
        <v>1</v>
      </c>
      <c r="D5" s="48">
        <v>155120</v>
      </c>
      <c r="E5" s="132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188</v>
      </c>
      <c r="G13" s="116">
        <v>5400</v>
      </c>
      <c r="L13" s="33">
        <f t="shared" si="0"/>
        <v>0</v>
      </c>
    </row>
    <row r="14" spans="1:12" ht="31.5">
      <c r="A14" s="30"/>
      <c r="F14" s="115" t="s">
        <v>190</v>
      </c>
      <c r="G14" s="116">
        <v>100000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49725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49725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51051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51051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193</v>
      </c>
      <c r="B41" s="38">
        <v>26122.2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26122.2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15249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15249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7823.4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7823.4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28376.400000000001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28376.400000000001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T0vypkBQ8IrSg6xHwR98cxCHqdzTLYNFmvg/3Sc1clWAb8E0mQsffjZgxZMmpATuVPzEMSCljD143XuY26vRDw==" saltValue="JAZ3lLqjTgRN1CqSejKCf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F38" sqref="F3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1105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83452.03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251831.25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179564.25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F1*5.45*12</f>
        <v>72267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261446.76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261446.76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261446.76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73836.520000000019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5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5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5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5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4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4"/>
      <c r="N26" s="65"/>
    </row>
    <row r="27" spans="1:15" ht="18.75" customHeight="1">
      <c r="A27" s="72" t="s">
        <v>107</v>
      </c>
      <c r="B27" s="77" t="s">
        <v>3</v>
      </c>
      <c r="C27" s="88">
        <v>29468.62</v>
      </c>
      <c r="D27" s="83" t="s">
        <v>58</v>
      </c>
      <c r="E27" s="66"/>
      <c r="F27" s="66"/>
      <c r="G27" s="66"/>
      <c r="H27" s="66"/>
      <c r="I27" s="66"/>
      <c r="J27" s="66"/>
      <c r="M27" s="164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4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4"/>
      <c r="N29" s="65"/>
    </row>
    <row r="30" spans="1:15" ht="18.75" customHeight="1">
      <c r="A30" s="72" t="s">
        <v>110</v>
      </c>
      <c r="B30" s="77" t="s">
        <v>17</v>
      </c>
      <c r="C30" s="88">
        <v>35313.56</v>
      </c>
      <c r="D30" s="83" t="s">
        <v>64</v>
      </c>
      <c r="E30" s="66"/>
      <c r="F30" s="66"/>
      <c r="G30" s="66"/>
      <c r="H30" s="66"/>
      <c r="I30" s="66"/>
      <c r="J30" s="66"/>
      <c r="M30" s="164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4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4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4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4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18886.29</v>
      </c>
      <c r="F37" s="96" t="s">
        <v>169</v>
      </c>
      <c r="G37" s="68"/>
      <c r="H37" s="68"/>
      <c r="I37" s="68"/>
      <c r="L37" s="65"/>
      <c r="M37" s="163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17247.75</v>
      </c>
      <c r="D38" s="96" t="s">
        <v>167</v>
      </c>
      <c r="E38" s="70"/>
      <c r="G38" s="69"/>
      <c r="H38" s="69"/>
      <c r="L38" s="65"/>
      <c r="M38" s="163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21841.58</v>
      </c>
      <c r="D39" s="96" t="s">
        <v>168</v>
      </c>
      <c r="E39" s="70"/>
      <c r="G39" s="69"/>
      <c r="H39" s="69"/>
      <c r="L39" s="65"/>
      <c r="M39" s="163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0</v>
      </c>
      <c r="D40" s="82" t="s">
        <v>57</v>
      </c>
      <c r="E40" s="70"/>
      <c r="G40" s="69"/>
      <c r="H40" s="69"/>
      <c r="L40" s="65"/>
      <c r="M40" s="163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18886.29</v>
      </c>
      <c r="D41" s="82" t="s">
        <v>57</v>
      </c>
      <c r="E41" s="70"/>
      <c r="G41" s="69"/>
      <c r="H41" s="69"/>
      <c r="L41" s="65"/>
      <c r="M41" s="163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18886.29</v>
      </c>
      <c r="D42" s="82" t="s">
        <v>57</v>
      </c>
      <c r="E42" s="70"/>
      <c r="G42" s="69"/>
      <c r="H42" s="69"/>
      <c r="L42" s="65"/>
      <c r="M42" s="163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3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3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32359.9</v>
      </c>
      <c r="F45" s="96" t="s">
        <v>169</v>
      </c>
      <c r="G45" s="68"/>
      <c r="H45" s="68"/>
      <c r="L45" s="65"/>
      <c r="M45" s="163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2323.87</v>
      </c>
      <c r="D46" s="96" t="s">
        <v>170</v>
      </c>
      <c r="E46" s="70"/>
      <c r="G46" s="69"/>
      <c r="H46" s="69"/>
      <c r="L46" s="65"/>
      <c r="M46" s="163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30863.31</v>
      </c>
      <c r="D47" s="96" t="s">
        <v>168</v>
      </c>
      <c r="E47" s="70"/>
      <c r="G47" s="69"/>
      <c r="H47" s="69"/>
      <c r="L47" s="65"/>
      <c r="M47" s="163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1496.5900000000001</v>
      </c>
      <c r="D48" s="82" t="s">
        <v>57</v>
      </c>
      <c r="E48" s="70"/>
      <c r="G48" s="69"/>
      <c r="H48" s="69"/>
      <c r="L48" s="65"/>
      <c r="M48" s="163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32359.9</v>
      </c>
      <c r="D49" s="82" t="s">
        <v>57</v>
      </c>
      <c r="E49" s="70"/>
      <c r="G49" s="69"/>
      <c r="H49" s="69"/>
      <c r="L49" s="65"/>
      <c r="M49" s="163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32359.9</v>
      </c>
      <c r="D50" s="82" t="s">
        <v>57</v>
      </c>
      <c r="E50" s="70"/>
      <c r="G50" s="69"/>
      <c r="H50" s="69"/>
      <c r="L50" s="65"/>
      <c r="M50" s="163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3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3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58444.27</v>
      </c>
      <c r="F53" s="96" t="s">
        <v>169</v>
      </c>
      <c r="G53" s="68"/>
      <c r="H53" s="68"/>
      <c r="L53" s="65"/>
      <c r="M53" s="163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3917.18</v>
      </c>
      <c r="D54" s="96" t="s">
        <v>170</v>
      </c>
      <c r="E54" s="71"/>
      <c r="F54" s="91"/>
      <c r="G54" s="66"/>
      <c r="H54" s="66"/>
      <c r="L54" s="65"/>
      <c r="M54" s="163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55288.43</v>
      </c>
      <c r="D55" s="96" t="s">
        <v>168</v>
      </c>
      <c r="E55" s="71"/>
      <c r="G55" s="66"/>
      <c r="H55" s="66"/>
      <c r="L55" s="65"/>
      <c r="M55" s="163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3155.8399999999965</v>
      </c>
      <c r="D56" s="82" t="s">
        <v>57</v>
      </c>
      <c r="E56" s="71"/>
      <c r="G56" s="66"/>
      <c r="H56" s="66"/>
      <c r="L56" s="65"/>
      <c r="M56" s="163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58444.27</v>
      </c>
      <c r="D57" s="82" t="s">
        <v>57</v>
      </c>
      <c r="E57" s="71"/>
      <c r="G57" s="66"/>
      <c r="H57" s="66"/>
      <c r="L57" s="65"/>
      <c r="M57" s="163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58444.27</v>
      </c>
      <c r="D58" s="82" t="s">
        <v>57</v>
      </c>
      <c r="E58" s="71"/>
      <c r="G58" s="66"/>
      <c r="H58" s="66"/>
      <c r="L58" s="65"/>
      <c r="M58" s="163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3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3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42237.99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78.17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39654.449999999997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2583.5400000000009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42237.99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42237.99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22197.87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1594.1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20633.61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1564.2599999999984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22197.87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22197.87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38" sqref="F3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0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0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2020-03-20T03:03:11Z</dcterms:modified>
</cp:coreProperties>
</file>