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D2" i="2"/>
  <c r="A60" i="1" l="1"/>
  <c r="A59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L18" i="2" l="1"/>
  <c r="J141" i="1" l="1"/>
  <c r="J136" i="1"/>
  <c r="J135" i="1"/>
  <c r="A141" i="1"/>
  <c r="A137" i="1"/>
  <c r="G134" i="1"/>
  <c r="F134" i="1"/>
  <c r="J133" i="1"/>
  <c r="J128" i="1"/>
  <c r="J127" i="1"/>
  <c r="G126" i="1"/>
  <c r="C37" i="3"/>
  <c r="A101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A125" i="1"/>
  <c r="A124" i="1"/>
  <c r="A123" i="1"/>
  <c r="A121" i="1"/>
  <c r="A120" i="1"/>
  <c r="A119" i="1"/>
  <c r="G118" i="1"/>
  <c r="F118" i="1"/>
  <c r="D118" i="1"/>
  <c r="A118" i="1"/>
  <c r="J117" i="1"/>
  <c r="J112" i="1"/>
  <c r="J111" i="1"/>
  <c r="A116" i="1"/>
  <c r="A113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A94" i="1"/>
  <c r="K94" i="1"/>
  <c r="A112" i="1" l="1"/>
  <c r="F110" i="1"/>
  <c r="A115" i="1"/>
  <c r="A111" i="1"/>
  <c r="A117" i="1"/>
  <c r="D110" i="1"/>
  <c r="A97" i="1"/>
  <c r="A98" i="1"/>
  <c r="D94" i="1"/>
  <c r="F94" i="1"/>
  <c r="A99" i="1"/>
  <c r="A100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A184" i="1" l="1"/>
  <c r="I184" i="1" s="1"/>
  <c r="A168" i="1"/>
  <c r="I168" i="1" s="1"/>
  <c r="A181" i="1"/>
  <c r="I181" i="1" s="1"/>
  <c r="A165" i="1"/>
  <c r="I165" i="1" s="1"/>
  <c r="A179" i="1"/>
  <c r="I179" i="1" s="1"/>
  <c r="A178" i="1"/>
  <c r="I178" i="1" s="1"/>
  <c r="A180" i="1"/>
  <c r="I180" i="1" s="1"/>
  <c r="A164" i="1"/>
  <c r="I164" i="1" s="1"/>
  <c r="A177" i="1"/>
  <c r="I177" i="1" s="1"/>
  <c r="A161" i="1"/>
  <c r="A175" i="1"/>
  <c r="I175" i="1" s="1"/>
  <c r="A174" i="1"/>
  <c r="I174" i="1" s="1"/>
  <c r="A176" i="1"/>
  <c r="I176" i="1" s="1"/>
  <c r="A173" i="1"/>
  <c r="I173" i="1" s="1"/>
  <c r="A187" i="1"/>
  <c r="I187" i="1" s="1"/>
  <c r="A171" i="1"/>
  <c r="I171" i="1" s="1"/>
  <c r="A186" i="1"/>
  <c r="I186" i="1" s="1"/>
  <c r="A170" i="1"/>
  <c r="I170" i="1" s="1"/>
  <c r="A172" i="1"/>
  <c r="I172" i="1" s="1"/>
  <c r="A185" i="1"/>
  <c r="I185" i="1" s="1"/>
  <c r="A169" i="1"/>
  <c r="I169" i="1" s="1"/>
  <c r="A183" i="1"/>
  <c r="I183" i="1" s="1"/>
  <c r="A167" i="1"/>
  <c r="I167" i="1" s="1"/>
  <c r="A182" i="1"/>
  <c r="I182" i="1" s="1"/>
  <c r="A166" i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<sst xmlns="http://schemas.openxmlformats.org/spreadsheetml/2006/main" count="559" uniqueCount="205">
  <si>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</si>
  <si>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</si>
  <si>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</si>
  <si>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</si>
  <si>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</si>
  <si>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</si>
  <si>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</si>
  <si>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</si>
  <si>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</si>
  <si>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</si>
  <si>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</si>
  <si>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</si>
  <si>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</si>
  <si>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</si>
  <si>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</si>
  <si>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</si>
  <si>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</si>
  <si>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</si>
  <si>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</si>
  <si>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</si>
  <si>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</si>
  <si>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</si>
  <si>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электрооборудования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</si>
  <si>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</si>
  <si>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</si>
  <si>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</si>
  <si>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</si>
  <si>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</si>
  <si>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</si>
  <si>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</si>
  <si>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</si>
  <si>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</si>
  <si>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</si>
  <si>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</si>
  <si>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</si>
  <si>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</si>
  <si>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</si>
  <si>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</si>
  <si>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</si>
  <si>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</si>
  <si>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</si>
  <si>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</si>
  <si>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</si>
  <si>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</si>
  <si>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</si>
  <si>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</si>
  <si>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</si>
  <si>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</si>
  <si>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</si>
  <si>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</si>
  <si>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</si>
  <si>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</si>
  <si>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</si>
  <si>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</si>
  <si>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</si>
  <si>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</si>
  <si>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</si>
  <si>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</si>
  <si>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</si>
  <si>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</si>
  <si>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</si>
  <si>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</si>
  <si>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</si>
  <si>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</si>
  <si>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</si>
  <si>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</si>
  <si>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</si>
  <si>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</si>
  <si>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</si>
  <si>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</si>
  <si>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</si>
  <si>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</si>
  <si>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</si>
  <si>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</si>
  <si>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</si>
  <si>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</si>
  <si>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</si>
  <si>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</si>
  <si>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</si>
  <si>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</si>
  <si>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</si>
  <si>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</si>
  <si>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</si>
  <si>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</si>
  <si>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</si>
  <si>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</si>
  <si>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</si>
  <si>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</si>
  <si>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</si>
  <si>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</si>
  <si>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</si>
  <si>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</si>
  <si>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</si>
  <si>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</si>
  <si>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</si>
  <si>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</si>
  <si>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</si>
  <si>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</si>
  <si>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</si>
  <si>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</si>
  <si>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</si>
  <si>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</si>
  <si>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</si>
  <si>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</si>
  <si>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</si>
  <si>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</si>
  <si>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</si>
  <si>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</si>
  <si>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</si>
  <si>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</si>
  <si>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</si>
  <si>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</si>
  <si>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</si>
  <si>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</si>
  <si>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</si>
  <si>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</si>
  <si>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</si>
  <si>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</si>
  <si>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</si>
  <si>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</si>
  <si>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</si>
  <si>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</si>
  <si>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</si>
  <si>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</si>
  <si>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</si>
  <si>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</si>
  <si>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</si>
  <si>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</si>
  <si>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</si>
  <si>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</si>
  <si>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</si>
  <si>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</si>
  <si>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</si>
  <si>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</si>
  <si>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</si>
  <si>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</si>
  <si>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</si>
  <si>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</si>
  <si>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</si>
  <si>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</si>
  <si>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</si>
  <si>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</si>
  <si>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</si>
  <si>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</si>
  <si>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</si>
  <si>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</si>
  <si>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</si>
  <si>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</si>
  <si>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</si>
  <si>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</si>
  <si>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</si>
  <si>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</si>
  <si>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</si>
  <si>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</si>
  <si>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</si>
  <si>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</si>
  <si>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</si>
  <si>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</si>
  <si>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</si>
  <si>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</si>
  <si>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</si>
  <si>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</si>
  <si>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</si>
  <si>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</si>
  <si>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</si>
  <si>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</si>
  <si>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</si>
  <si>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</si>
  <si>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</si>
  <si>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</si>
  <si>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</si>
  <si>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84</t>
  </si>
  <si>
    <t>площадь дома</t>
  </si>
  <si>
    <t>с 01.08.2019 приказ №59 от 26.08.2019, Протокол №1-2 от 29.05.2019</t>
  </si>
  <si>
    <t>Работы по содержанию земельного участка  (уборка придомовой территории)</t>
  </si>
  <si>
    <t>Работы по содержанию помещений, входящих в состав общего имущества (уборка подъезда)</t>
  </si>
  <si>
    <t>Работы по обеспечению вывоза бытовых отходов</t>
  </si>
  <si>
    <t>Обеспечение устранения аварий на внутридомовых инженерных системах</t>
  </si>
  <si>
    <t>шт.</t>
  </si>
  <si>
    <t>мес.</t>
  </si>
  <si>
    <t>Отчет об исполнении договора управления многоквартирного дома 
Березовый, 84 в части текущего ремонта</t>
  </si>
  <si>
    <t>Тех. обслуживание охранной сигнализации.</t>
  </si>
  <si>
    <t>01.01.2017</t>
  </si>
  <si>
    <t>31.12.2017</t>
  </si>
  <si>
    <t>Перерасход (+) или экономия 
(-) средств в 2016 году (руб.)</t>
  </si>
  <si>
    <t>Начислено за  текущий ремонт в 2017 году (руб.):</t>
  </si>
  <si>
    <t>Итого выполнено работ в 2017 года (руб.):</t>
  </si>
  <si>
    <t>Перерасход (+) или экономия 
(-) средств по состоянию на 31 декабря 2017 года (руб.):</t>
  </si>
  <si>
    <t>В 2018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</si>
  <si>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Устранение аварии на канализационных сетях и КНС в феврале.</t>
  </si>
  <si>
    <t>Вывоз снега сброшенного с кровли.</t>
  </si>
  <si>
    <t>Таль, строп для подъёма насосов КНС.</t>
  </si>
  <si>
    <t>Благоустройство придомовой территории (приобретение рассады).</t>
  </si>
  <si>
    <t>Ремонт подъезда.</t>
  </si>
  <si>
    <t>Замена счетчика учета эл.энергии на ТП.</t>
  </si>
  <si>
    <t>Аварийный ремонт насосов КНС.</t>
  </si>
  <si>
    <t>Замена стоякового автоматического выключателя 100А.</t>
  </si>
  <si>
    <t>Замена рубильника ВРУ.</t>
  </si>
  <si>
    <t>Вывоз снега с придомовой территории.</t>
  </si>
  <si>
    <t xml:space="preserve">шт. </t>
  </si>
  <si>
    <t>усл.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</si>
  <si>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</si>
  <si>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</si>
  <si>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Услуги и работы по управлению МКД</t>
  </si>
  <si>
    <t>Работы по содержанию  оборудования, систем инженерно-технического обеспечения и конструктивных элементов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</si>
</sst>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0" xfId="9"/>
    <xf numFmtId="0" fontId="2" fillId="0" borderId="0" xfId="9" applyFill="1"/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1" fillId="0" borderId="0" xfId="13" applyFont="1" applyFill="1" applyBorder="1" applyAlignment="1"/>
    <xf numFmtId="0" fontId="0" fillId="0" borderId="0" xfId="0" applyFill="1"/>
    <xf numFmtId="0" fontId="17" fillId="6" borderId="0" xfId="4" applyFont="1" applyFill="1" applyBorder="1" applyAlignment="1"/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6" xfId="0" applyBorder="1" applyAlignment="1"/>
    <xf numFmtId="0" fontId="0" fillId="0" borderId="6" xfId="0" applyFill="1" applyBorder="1" applyAlignment="1"/>
    <xf numFmtId="0" fontId="0" fillId="0" borderId="6" xfId="0" applyFill="1" applyBorder="1" applyAlignment="1">
      <alignment wrapText="1"/>
    </xf>
    <xf numFmtId="0" fontId="17" fillId="0" borderId="6" xfId="0" applyFont="1" applyFill="1" applyBorder="1" applyAlignment="1"/>
    <xf numFmtId="4" fontId="0" fillId="0" borderId="6" xfId="0" applyNumberFormat="1" applyBorder="1" applyAlignment="1"/>
    <xf numFmtId="4" fontId="0" fillId="0" borderId="6" xfId="0" applyNumberFormat="1" applyFont="1" applyBorder="1" applyAlignment="1"/>
    <xf numFmtId="4" fontId="0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Fill="1" applyBorder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  <xf numFmtId="4" fontId="0" fillId="0" borderId="0" xfId="0" applyNumberFormat="1" applyFill="1"/>
    <xf numFmtId="0" fontId="17" fillId="0" borderId="1" xfId="0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9" xfId="0" applyFont="1" applyFill="1" applyBorder="1" applyAlignment="1"/>
    <xf numFmtId="0" fontId="17" fillId="0" borderId="6" xfId="0" applyFont="1" applyFill="1" applyBorder="1" applyAlignment="1">
      <alignment horizontal="center"/>
    </xf>
    <xf numFmtId="4" fontId="0" fillId="0" borderId="9" xfId="0" applyNumberFormat="1" applyBorder="1" applyAlignment="1"/>
    <xf numFmtId="0" fontId="0" fillId="0" borderId="7" xfId="0" applyBorder="1" applyAlignment="1">
      <alignment horizontal="center"/>
    </xf>
    <xf numFmtId="0" fontId="17" fillId="0" borderId="0" xfId="0" applyFont="1" applyFill="1" applyAlignment="1">
      <alignment horizontal="center"/>
    </xf>
    <xf numFmtId="4" fontId="17" fillId="0" borderId="6" xfId="0" applyNumberFormat="1" applyFont="1" applyFill="1" applyBorder="1" applyAlignment="1"/>
    <xf numFmtId="0" fontId="0" fillId="0" borderId="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6" xfId="0" applyNumberFormat="1" applyFont="1" applyFill="1" applyBorder="1" applyAlignment="1"/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11"/>
    <cellStyle name="Обычный 3" xfId="2"/>
    <cellStyle name="Обычный 3 2" xfId="8"/>
    <cellStyle name="Обычный 3 3" xfId="7"/>
    <cellStyle name="Обычный 3 4" xfId="12"/>
    <cellStyle name="Обычный 4" xfId="4"/>
    <cellStyle name="Обычный 4 2" xfId="13"/>
    <cellStyle name="Обычный 5" xfId="5"/>
    <cellStyle name="Обычный 5 2" xfId="14"/>
    <cellStyle name="Обычный 6" xfId="9"/>
    <cellStyle name="Финансовый 2" xfId="6"/>
    <cellStyle name="Финансовый 2 2" xfId="15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G5" sqref="AG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0" style="1" hidden="1" customWidth="1"/>
    <col min="23" max="23" width="15.42578125" style="1" hidden="1" customWidth="1"/>
    <col min="24" max="25" width="0" style="1" hidden="1" customWidth="1"/>
    <col min="26" max="16384" width="9.140625" style="1"/>
  </cols>
  <sheetData>
    <row r="1" spans="1:18">
      <c r="I1" s="1" t="s">
        <v>32</v>
      </c>
      <c r="K1" s="108"/>
      <c r="L1" s="108"/>
      <c r="M1" s="108"/>
      <c r="N1" s="108"/>
    </row>
    <row r="2" spans="1:18" ht="42" customHeight="1">
      <c r="A2" s="178" t="s">
        <v>171</v>
      </c>
      <c r="B2" s="178"/>
      <c r="C2" s="178"/>
      <c r="D2" s="178"/>
      <c r="E2" s="178"/>
      <c r="F2" s="178"/>
      <c r="G2" s="178"/>
      <c r="H2" s="178"/>
      <c r="I2" s="178"/>
      <c r="J2" s="178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3" t="s">
        <v>182</v>
      </c>
      <c r="K4" s="108"/>
      <c r="L4" s="108"/>
      <c r="M4" s="108"/>
      <c r="N4" s="108"/>
    </row>
    <row r="5" spans="1:18">
      <c r="A5" s="1" t="s">
        <v>1</v>
      </c>
      <c r="E5" s="113" t="s">
        <v>183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29</v>
      </c>
      <c r="K7" s="108"/>
      <c r="L7" s="108"/>
      <c r="M7" s="108"/>
      <c r="N7" s="108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8"/>
      <c r="L8" s="179"/>
      <c r="M8" s="108"/>
      <c r="N8" s="108"/>
      <c r="O8" s="70" t="s">
        <v>78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8"/>
      <c r="L9" s="179"/>
      <c r="M9" s="108"/>
      <c r="N9" s="108"/>
      <c r="O9" s="70" t="s">
        <v>79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100272.29</v>
      </c>
      <c r="K10" s="108"/>
      <c r="L10" s="179"/>
      <c r="M10" s="108"/>
      <c r="N10" s="108"/>
      <c r="O10" s="70" t="s">
        <v>80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260270.9</v>
      </c>
      <c r="K11" s="108"/>
      <c r="L11" s="179"/>
      <c r="M11" s="108"/>
      <c r="N11" s="108"/>
      <c r="O11" s="70" t="s">
        <v>81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213116.3</v>
      </c>
      <c r="K12" s="108"/>
      <c r="L12" s="179"/>
      <c r="M12" s="108"/>
      <c r="N12" s="108"/>
      <c r="O12" s="70" t="s">
        <v>82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47154.6</v>
      </c>
      <c r="K13" s="108"/>
      <c r="L13" s="179"/>
      <c r="M13" s="108"/>
      <c r="N13" s="108"/>
      <c r="O13" s="70" t="s">
        <v>83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8"/>
      <c r="L14" s="179"/>
      <c r="M14" s="108"/>
      <c r="N14" s="108"/>
      <c r="O14" s="70" t="s">
        <v>84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230880.58</v>
      </c>
      <c r="K15" s="108"/>
      <c r="L15" s="179"/>
      <c r="M15" s="108"/>
      <c r="N15" s="108"/>
      <c r="O15" s="70" t="s">
        <v>85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230880.58</v>
      </c>
      <c r="K16" s="108"/>
      <c r="L16" s="179"/>
      <c r="M16" s="108"/>
      <c r="N16" s="108"/>
      <c r="O16" s="70" t="s">
        <v>86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8"/>
      <c r="L17" s="179"/>
      <c r="M17" s="108"/>
      <c r="N17" s="108"/>
      <c r="O17" s="70" t="s">
        <v>87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8"/>
      <c r="L18" s="179"/>
      <c r="M18" s="108"/>
      <c r="N18" s="108"/>
      <c r="O18" s="70" t="s">
        <v>88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8"/>
      <c r="L19" s="179"/>
      <c r="M19" s="108"/>
      <c r="N19" s="108"/>
      <c r="O19" s="70" t="s">
        <v>89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8"/>
      <c r="L20" s="179"/>
      <c r="M20" s="108"/>
      <c r="N20" s="108"/>
      <c r="O20" s="70" t="s">
        <v>90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230880.58</v>
      </c>
      <c r="K21" s="108"/>
      <c r="L21" s="179"/>
      <c r="M21" s="108"/>
      <c r="N21" s="108"/>
      <c r="O21" s="70" t="s">
        <v>91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8"/>
      <c r="L22" s="179"/>
      <c r="M22" s="108"/>
      <c r="N22" s="108"/>
      <c r="O22" s="70" t="s">
        <v>92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8"/>
      <c r="L23" s="179"/>
      <c r="M23" s="108"/>
      <c r="N23" s="108"/>
      <c r="O23" s="70" t="s">
        <v>93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129662.61000000002</v>
      </c>
      <c r="K24" s="108"/>
      <c r="L24" s="179"/>
      <c r="M24" s="108"/>
      <c r="N24" s="108"/>
      <c r="O24" s="70" t="s">
        <v>94</v>
      </c>
    </row>
    <row r="25" spans="1:23">
      <c r="A25" s="4"/>
      <c r="K25" s="108"/>
      <c r="L25" s="108"/>
      <c r="M25" s="108"/>
      <c r="N25" s="108"/>
    </row>
    <row r="26" spans="1:23">
      <c r="A26" s="11" t="s">
        <v>28</v>
      </c>
      <c r="K26" s="108"/>
      <c r="L26" s="108"/>
      <c r="M26" s="108"/>
      <c r="N26" s="108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53</v>
      </c>
      <c r="I27" s="171" t="s">
        <v>21</v>
      </c>
      <c r="J27" s="171"/>
      <c r="K27" s="108"/>
      <c r="L27" s="180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 по содержанию земельного участка  (уборка придомовой территории)</v>
      </c>
      <c r="B28" s="163"/>
      <c r="C28" s="163"/>
      <c r="D28" s="163"/>
      <c r="E28" s="163"/>
      <c r="F28" s="168">
        <f>VLOOKUP(A28,ПТО!$A$39:$D$53,2,FALSE)</f>
        <v>27860.6</v>
      </c>
      <c r="G28" s="168"/>
      <c r="H28" s="6" t="str">
        <f>VLOOKUP(A28,ПТО!$A$39:$D$53,3,FALSE)</f>
        <v>В соответствии с графиком</v>
      </c>
      <c r="I28" s="164">
        <f>VLOOKUP(A28,ПТО!$A$39:$D$53,4,FALSE)</f>
        <v>12</v>
      </c>
      <c r="J28" s="164"/>
      <c r="K28" s="108"/>
      <c r="L28" s="180"/>
      <c r="M28" s="108"/>
      <c r="N28" s="108"/>
      <c r="O28" s="23" t="str">
        <f t="shared" ref="O28:O72" si="1">A28</f>
        <v>Работы по содержанию земельного участка  (уборка придомовой территории)</v>
      </c>
      <c r="R28" s="1" t="s">
        <v>68</v>
      </c>
    </row>
    <row r="29" spans="1:23" ht="96.75" customHeight="1" outlineLevel="1">
      <c r="A29" s="163" t="str">
        <f>ПТО!A40</f>
        <v>Работы по содержанию помещений, входящих в состав общего имущества (уборка подъезда)</v>
      </c>
      <c r="B29" s="163"/>
      <c r="C29" s="163"/>
      <c r="D29" s="163"/>
      <c r="E29" s="163"/>
      <c r="F29" s="168">
        <f>VLOOKUP(A29,ПТО!$A$39:$D$53,2,FALSE)</f>
        <v>28292.760000000002</v>
      </c>
      <c r="G29" s="168"/>
      <c r="H29" s="42" t="str">
        <f>VLOOKUP(A29,ПТО!$A$39:$D$53,3,FALSE)</f>
        <v>В соответствии с графиком</v>
      </c>
      <c r="I29" s="164">
        <f>VLOOKUP(A29,ПТО!$A$39:$D$53,4,FALSE)</f>
        <v>12</v>
      </c>
      <c r="J29" s="164"/>
      <c r="K29" s="108"/>
      <c r="L29" s="180"/>
      <c r="M29" s="108"/>
      <c r="N29" s="108"/>
      <c r="O29" s="23" t="str">
        <f t="shared" si="1"/>
        <v>Работы по содержанию помещений, входящих в состав общего имущества (уборка подъезда)</v>
      </c>
      <c r="R29" s="1" t="s">
        <v>68</v>
      </c>
    </row>
    <row r="30" spans="1:23" ht="45.75" customHeight="1" outlineLevel="1">
      <c r="A30" s="163" t="str">
        <f>ПТО!A41</f>
        <v>Работы по содержанию  оборудования, систем инженерно-технического обеспечения и конструктивных элементов дома</v>
      </c>
      <c r="B30" s="163"/>
      <c r="C30" s="163"/>
      <c r="D30" s="163"/>
      <c r="E30" s="163"/>
      <c r="F30" s="168">
        <f>VLOOKUP(A30,ПТО!$A$39:$D$53,2,FALSE)</f>
        <v>48194.45</v>
      </c>
      <c r="G30" s="168"/>
      <c r="H30" s="42" t="str">
        <f>VLOOKUP(A30,ПТО!$A$39:$D$53,3,FALSE)</f>
        <v>Ежемесячно</v>
      </c>
      <c r="I30" s="164">
        <f>VLOOKUP(A30,ПТО!$A$39:$D$53,4,FALSE)</f>
        <v>12</v>
      </c>
      <c r="J30" s="164"/>
      <c r="K30" s="108"/>
      <c r="L30" s="180"/>
      <c r="M30" s="108"/>
      <c r="N30" s="108"/>
      <c r="O30" s="23" t="str">
        <f t="shared" si="1"/>
        <v>Работы по содержанию  оборудования, систем инженерно-технического обеспечения и конструктивных элементов дома</v>
      </c>
      <c r="R30" s="1" t="s">
        <v>68</v>
      </c>
    </row>
    <row r="31" spans="1:23" ht="42" customHeight="1" outlineLevel="1">
      <c r="A31" s="163" t="str">
        <f>ПТО!A42</f>
        <v>Работы по обеспечению вывоза бытовых отходов</v>
      </c>
      <c r="B31" s="163"/>
      <c r="C31" s="163"/>
      <c r="D31" s="163"/>
      <c r="E31" s="163"/>
      <c r="F31" s="168">
        <f>VLOOKUP(A31,ПТО!$A$39:$D$53,2,FALSE)</f>
        <v>17466.245999999999</v>
      </c>
      <c r="G31" s="168"/>
      <c r="H31" s="42" t="str">
        <f>VLOOKUP(A31,ПТО!$A$39:$D$53,3,FALSE)</f>
        <v>В соответствии с графиком</v>
      </c>
      <c r="I31" s="164">
        <f>VLOOKUP(A31,ПТО!$A$39:$D$53,4,FALSE)</f>
        <v>12</v>
      </c>
      <c r="J31" s="164"/>
      <c r="K31" s="108"/>
      <c r="L31" s="180"/>
      <c r="M31" s="108"/>
      <c r="N31" s="108"/>
      <c r="O31" s="23" t="str">
        <f t="shared" si="1"/>
        <v>Работы по обеспечению вывоза бытовых отходов</v>
      </c>
      <c r="R31" s="1" t="s">
        <v>68</v>
      </c>
    </row>
    <row r="32" spans="1:23" ht="38.25" customHeight="1" outlineLevel="1">
      <c r="A32" s="163" t="str">
        <f>ПТО!A43</f>
        <v>Обеспечение устранения аварий на внутридомовых инженерных системах</v>
      </c>
      <c r="B32" s="163"/>
      <c r="C32" s="163"/>
      <c r="D32" s="163"/>
      <c r="E32" s="163"/>
      <c r="F32" s="168">
        <f>VLOOKUP(A32,ПТО!$A$39:$D$53,2,FALSE)</f>
        <v>6834</v>
      </c>
      <c r="G32" s="168"/>
      <c r="H32" s="42" t="str">
        <f>VLOOKUP(A32,ПТО!$A$39:$D$53,3,FALSE)</f>
        <v>Круглосуточно</v>
      </c>
      <c r="I32" s="164">
        <f>VLOOKUP(A32,ПТО!$A$39:$D$53,4,FALSE)</f>
        <v>12</v>
      </c>
      <c r="J32" s="164"/>
      <c r="K32" s="108"/>
      <c r="L32" s="180"/>
      <c r="M32" s="108"/>
      <c r="N32" s="108"/>
      <c r="O32" s="23" t="str">
        <f t="shared" si="1"/>
        <v>Обеспечение устранения аварий на внутридомовых инженерных системах</v>
      </c>
      <c r="R32" s="1" t="s">
        <v>68</v>
      </c>
    </row>
    <row r="33" spans="1:18" ht="42" customHeight="1" outlineLevel="1">
      <c r="A33" s="163" t="str">
        <f>ПТО!A44</f>
        <v>Работы, выполняемые для надлежащего содержания электрооборудования дома</v>
      </c>
      <c r="B33" s="163"/>
      <c r="C33" s="163"/>
      <c r="D33" s="163"/>
      <c r="E33" s="163"/>
      <c r="F33" s="168">
        <f>VLOOKUP(A33,ПТО!$A$39:$D$53,2,FALSE)</f>
        <v>16128.24</v>
      </c>
      <c r="G33" s="168"/>
      <c r="H33" s="42" t="str">
        <f>VLOOKUP(A33,ПТО!$A$39:$D$53,3,FALSE)</f>
        <v>Ежемесячно</v>
      </c>
      <c r="I33" s="164">
        <f>VLOOKUP(A33,ПТО!$A$39:$D$53,4,FALSE)</f>
        <v>12</v>
      </c>
      <c r="J33" s="164"/>
      <c r="K33" s="108"/>
      <c r="L33" s="180"/>
      <c r="M33" s="108"/>
      <c r="N33" s="108"/>
      <c r="O33" s="23" t="str">
        <f t="shared" si="1"/>
        <v>Работы, выполняемые для надлежащего содержания электрооборудования дома</v>
      </c>
      <c r="R33" s="1" t="s">
        <v>68</v>
      </c>
    </row>
    <row r="34" spans="1:18" ht="45" customHeight="1" outlineLevel="1">
      <c r="A34" s="163" t="str">
        <f>ПТО!A45</f>
        <v>Услуги и работы по управлению МКД</v>
      </c>
      <c r="B34" s="163"/>
      <c r="C34" s="163"/>
      <c r="D34" s="163"/>
      <c r="E34" s="163"/>
      <c r="F34" s="168">
        <f>VLOOKUP(A34,ПТО!$A$39:$D$53,2,FALSE)</f>
        <v>68340</v>
      </c>
      <c r="G34" s="168"/>
      <c r="H34" s="42" t="str">
        <f>VLOOKUP(A34,ПТО!$A$39:$D$53,3,FALSE)</f>
        <v>Ежемесячно</v>
      </c>
      <c r="I34" s="164">
        <f>VLOOKUP(A34,ПТО!$A$39:$D$53,4,FALSE)</f>
        <v>12</v>
      </c>
      <c r="J34" s="164"/>
      <c r="K34" s="108"/>
      <c r="L34" s="180"/>
      <c r="M34" s="108"/>
      <c r="N34" s="108"/>
      <c r="O34" s="23" t="str">
        <f t="shared" si="1"/>
        <v>Услуги и работы по управлению МКД</v>
      </c>
      <c r="R34" s="1" t="s">
        <v>68</v>
      </c>
    </row>
    <row r="35" spans="1:18" ht="51" hidden="1" customHeight="1" outlineLevel="1">
      <c r="A35" s="163">
        <f>ПТО!A46</f>
        <v>0</v>
      </c>
      <c r="B35" s="163"/>
      <c r="C35" s="163"/>
      <c r="D35" s="163"/>
      <c r="E35" s="163"/>
      <c r="F35" s="168" t="e">
        <f>VLOOKUP(A35,ПТО!$A$39:$D$53,2,FALSE)</f>
        <v>#N/A</v>
      </c>
      <c r="G35" s="168"/>
      <c r="H35" s="42" t="e">
        <f>VLOOKUP(A35,ПТО!$A$39:$D$53,3,FALSE)</f>
        <v>#N/A</v>
      </c>
      <c r="I35" s="164" t="e">
        <f>VLOOKUP(A35,ПТО!$A$39:$D$53,4,FALSE)</f>
        <v>#N/A</v>
      </c>
      <c r="J35" s="164"/>
      <c r="K35" s="108"/>
      <c r="L35" s="180"/>
      <c r="M35" s="112"/>
      <c r="N35" s="108"/>
      <c r="O35" s="23">
        <f t="shared" si="1"/>
        <v>0</v>
      </c>
      <c r="R35" s="1" t="s">
        <v>68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8"/>
      <c r="L36" s="180"/>
      <c r="M36" s="112"/>
      <c r="N36" s="108"/>
      <c r="O36" s="23">
        <f t="shared" si="1"/>
        <v>0</v>
      </c>
      <c r="R36" s="1" t="s">
        <v>68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8"/>
      <c r="L37" s="180"/>
      <c r="M37" s="112"/>
      <c r="N37" s="108"/>
      <c r="O37" s="23">
        <f t="shared" si="1"/>
        <v>0</v>
      </c>
      <c r="R37" s="1" t="s">
        <v>68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8"/>
      <c r="L38" s="180"/>
      <c r="M38" s="112"/>
      <c r="N38" s="108"/>
      <c r="O38" s="23">
        <f t="shared" si="1"/>
        <v>0</v>
      </c>
      <c r="R38" s="1" t="s">
        <v>68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8"/>
      <c r="L39" s="180"/>
      <c r="M39" s="112"/>
      <c r="N39" s="108"/>
      <c r="O39" s="23">
        <f t="shared" si="1"/>
        <v>0</v>
      </c>
      <c r="R39" s="1" t="s">
        <v>68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8"/>
      <c r="L40" s="180"/>
      <c r="M40" s="112"/>
      <c r="N40" s="108"/>
      <c r="O40" s="23">
        <f t="shared" si="1"/>
        <v>0</v>
      </c>
      <c r="R40" s="1" t="s">
        <v>68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8"/>
      <c r="L41" s="180"/>
      <c r="M41" s="112"/>
      <c r="N41" s="108"/>
      <c r="O41" s="23">
        <f t="shared" si="1"/>
        <v>0</v>
      </c>
      <c r="R41" s="1" t="s">
        <v>68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8"/>
      <c r="L42" s="180"/>
      <c r="M42" s="112"/>
      <c r="N42" s="108"/>
      <c r="O42" s="23">
        <f t="shared" si="1"/>
        <v>0</v>
      </c>
      <c r="R42" s="1" t="s">
        <v>68</v>
      </c>
    </row>
    <row r="43" spans="1:18" ht="51" customHeight="1" outlineLevel="1">
      <c r="A43" s="163" t="str">
        <f>ПТО!A2</f>
        <v>Тех. обслуживание охранной сигнализации.</v>
      </c>
      <c r="B43" s="163"/>
      <c r="C43" s="163"/>
      <c r="D43" s="163"/>
      <c r="E43" s="163"/>
      <c r="F43" s="168">
        <f>VLOOKUP(A43,ПТО!$A$2:$D$31,4,FALSE)</f>
        <v>5400</v>
      </c>
      <c r="G43" s="168"/>
      <c r="H43" s="19" t="str">
        <f>VLOOKUP(A43,ПТО!$A$2:$D$31,2,FALSE)</f>
        <v>мес.</v>
      </c>
      <c r="I43" s="164">
        <f>VLOOKUP(A43,ПТО!$A$2:$D$31,3,FALSE)</f>
        <v>12</v>
      </c>
      <c r="J43" s="164"/>
      <c r="K43" s="108"/>
      <c r="L43" s="180"/>
      <c r="M43" s="112"/>
      <c r="N43" s="108"/>
      <c r="O43" s="23" t="str">
        <f t="shared" si="1"/>
        <v>Тех. обслуживание охранной сигнализации.</v>
      </c>
      <c r="R43" s="22" t="s">
        <v>69</v>
      </c>
    </row>
    <row r="44" spans="1:18" ht="51" customHeight="1" outlineLevel="1">
      <c r="A44" s="163" t="str">
        <f>ПТО!A3</f>
        <v>Устранение аварии на канализационных сетях и КНС в феврале.</v>
      </c>
      <c r="B44" s="163"/>
      <c r="C44" s="163"/>
      <c r="D44" s="163"/>
      <c r="E44" s="163"/>
      <c r="F44" s="168">
        <f>VLOOKUP(A44,ПТО!$A$2:$D$31,4,FALSE)</f>
        <v>1203.3499999999999</v>
      </c>
      <c r="G44" s="168"/>
      <c r="H44" s="25" t="str">
        <f>VLOOKUP(A44,ПТО!$A$2:$D$31,2,FALSE)</f>
        <v>шт.</v>
      </c>
      <c r="I44" s="164">
        <f>VLOOKUP(A44,ПТО!$A$2:$D$31,3,FALSE)</f>
        <v>1</v>
      </c>
      <c r="J44" s="164"/>
      <c r="K44" s="108"/>
      <c r="L44" s="180"/>
      <c r="M44" s="112"/>
      <c r="N44" s="108"/>
      <c r="O44" s="23" t="str">
        <f t="shared" si="1"/>
        <v>Устранение аварии на канализационных сетях и КНС в феврале.</v>
      </c>
      <c r="R44" s="22" t="s">
        <v>69</v>
      </c>
    </row>
    <row r="45" spans="1:18" ht="51" customHeight="1" outlineLevel="1">
      <c r="A45" s="163" t="str">
        <f>ПТО!A4</f>
        <v>Вывоз снега сброшенного с кровли.</v>
      </c>
      <c r="B45" s="163"/>
      <c r="C45" s="163"/>
      <c r="D45" s="163"/>
      <c r="E45" s="163"/>
      <c r="F45" s="168">
        <f>VLOOKUP(A45,ПТО!$A$2:$D$31,4,FALSE)</f>
        <v>7500</v>
      </c>
      <c r="G45" s="168"/>
      <c r="H45" s="25" t="str">
        <f>VLOOKUP(A45,ПТО!$A$2:$D$31,2,FALSE)</f>
        <v xml:space="preserve">шт. </v>
      </c>
      <c r="I45" s="164">
        <f>VLOOKUP(A45,ПТО!$A$2:$D$31,3,FALSE)</f>
        <v>1</v>
      </c>
      <c r="J45" s="164"/>
      <c r="K45" s="108"/>
      <c r="L45" s="180"/>
      <c r="M45" s="112"/>
      <c r="N45" s="108"/>
      <c r="O45" s="23" t="str">
        <f t="shared" si="1"/>
        <v>Вывоз снега сброшенного с кровли.</v>
      </c>
      <c r="R45" s="22" t="s">
        <v>69</v>
      </c>
    </row>
    <row r="46" spans="1:18" ht="51" customHeight="1" outlineLevel="1">
      <c r="A46" s="163" t="str">
        <f>ПТО!A5</f>
        <v>Таль, строп для подъёма насосов КНС.</v>
      </c>
      <c r="B46" s="163"/>
      <c r="C46" s="163"/>
      <c r="D46" s="163"/>
      <c r="E46" s="163"/>
      <c r="F46" s="168">
        <f>VLOOKUP(A46,ПТО!$A$2:$D$31,4,FALSE)</f>
        <v>174.47</v>
      </c>
      <c r="G46" s="168"/>
      <c r="H46" s="25" t="str">
        <f>VLOOKUP(A46,ПТО!$A$2:$D$31,2,FALSE)</f>
        <v>шт.</v>
      </c>
      <c r="I46" s="164">
        <f>VLOOKUP(A46,ПТО!$A$2:$D$31,3,FALSE)</f>
        <v>1</v>
      </c>
      <c r="J46" s="164"/>
      <c r="K46" s="108"/>
      <c r="L46" s="180"/>
      <c r="M46" s="112"/>
      <c r="N46" s="108"/>
      <c r="O46" s="23" t="str">
        <f t="shared" si="1"/>
        <v>Таль, строп для подъёма насосов КНС.</v>
      </c>
      <c r="R46" s="22" t="s">
        <v>69</v>
      </c>
    </row>
    <row r="47" spans="1:18" ht="51" customHeight="1" outlineLevel="1">
      <c r="A47" s="163" t="str">
        <f>ПТО!A6</f>
        <v>Благоустройство придомовой территории (приобретение рассады).</v>
      </c>
      <c r="B47" s="163"/>
      <c r="C47" s="163"/>
      <c r="D47" s="163"/>
      <c r="E47" s="163"/>
      <c r="F47" s="168">
        <f>VLOOKUP(A47,ПТО!$A$2:$D$31,4,FALSE)</f>
        <v>1323</v>
      </c>
      <c r="G47" s="168"/>
      <c r="H47" s="25" t="str">
        <f>VLOOKUP(A47,ПТО!$A$2:$D$31,2,FALSE)</f>
        <v>шт.</v>
      </c>
      <c r="I47" s="164">
        <f>VLOOKUP(A47,ПТО!$A$2:$D$31,3,FALSE)</f>
        <v>1</v>
      </c>
      <c r="J47" s="164"/>
      <c r="K47" s="108"/>
      <c r="L47" s="180"/>
      <c r="M47" s="112"/>
      <c r="N47" s="108"/>
      <c r="O47" s="23" t="str">
        <f t="shared" si="1"/>
        <v>Благоустройство придомовой территории (приобретение рассады).</v>
      </c>
      <c r="R47" s="22" t="s">
        <v>69</v>
      </c>
    </row>
    <row r="48" spans="1:18" ht="51" customHeight="1" outlineLevel="1">
      <c r="A48" s="163" t="str">
        <f>ПТО!A7</f>
        <v>Ремонт подъезда.</v>
      </c>
      <c r="B48" s="163"/>
      <c r="C48" s="163"/>
      <c r="D48" s="163"/>
      <c r="E48" s="163"/>
      <c r="F48" s="168">
        <f>VLOOKUP(A48,ПТО!$A$2:$D$31,4,FALSE)</f>
        <v>131000</v>
      </c>
      <c r="G48" s="168"/>
      <c r="H48" s="25" t="str">
        <f>VLOOKUP(A48,ПТО!$A$2:$D$31,2,FALSE)</f>
        <v>шт.</v>
      </c>
      <c r="I48" s="164">
        <f>VLOOKUP(A48,ПТО!$A$2:$D$31,3,FALSE)</f>
        <v>1</v>
      </c>
      <c r="J48" s="164"/>
      <c r="K48" s="108"/>
      <c r="L48" s="180"/>
      <c r="M48" s="112"/>
      <c r="N48" s="108"/>
      <c r="O48" s="23" t="str">
        <f t="shared" si="1"/>
        <v>Ремонт подъезда.</v>
      </c>
      <c r="R48" s="22" t="s">
        <v>69</v>
      </c>
    </row>
    <row r="49" spans="1:18" ht="51" customHeight="1" outlineLevel="1">
      <c r="A49" s="163" t="str">
        <f>ПТО!A8</f>
        <v>Замена счетчика учета эл.энергии на ТП.</v>
      </c>
      <c r="B49" s="163"/>
      <c r="C49" s="163"/>
      <c r="D49" s="163"/>
      <c r="E49" s="163"/>
      <c r="F49" s="168">
        <f>VLOOKUP(A49,ПТО!$A$2:$D$31,4,FALSE)</f>
        <v>1506.27</v>
      </c>
      <c r="G49" s="168"/>
      <c r="H49" s="25" t="str">
        <f>VLOOKUP(A49,ПТО!$A$2:$D$31,2,FALSE)</f>
        <v>шт.</v>
      </c>
      <c r="I49" s="164">
        <f>VLOOKUP(A49,ПТО!$A$2:$D$31,3,FALSE)</f>
        <v>1</v>
      </c>
      <c r="J49" s="164"/>
      <c r="K49" s="108"/>
      <c r="L49" s="180"/>
      <c r="M49" s="112"/>
      <c r="N49" s="108"/>
      <c r="O49" s="23" t="str">
        <f t="shared" si="1"/>
        <v>Замена счетчика учета эл.энергии на ТП.</v>
      </c>
      <c r="R49" s="22" t="s">
        <v>69</v>
      </c>
    </row>
    <row r="50" spans="1:18" ht="51" customHeight="1" outlineLevel="1">
      <c r="A50" s="163" t="str">
        <f>ПТО!A9</f>
        <v>Аварийный ремонт насосов КНС.</v>
      </c>
      <c r="B50" s="163"/>
      <c r="C50" s="163"/>
      <c r="D50" s="163"/>
      <c r="E50" s="163"/>
      <c r="F50" s="168">
        <f>VLOOKUP(A50,ПТО!$A$2:$D$31,4,FALSE)</f>
        <v>771.76</v>
      </c>
      <c r="G50" s="168"/>
      <c r="H50" s="25" t="str">
        <f>VLOOKUP(A50,ПТО!$A$2:$D$31,2,FALSE)</f>
        <v>усл.</v>
      </c>
      <c r="I50" s="164">
        <f>VLOOKUP(A50,ПТО!$A$2:$D$31,3,FALSE)</f>
        <v>1</v>
      </c>
      <c r="J50" s="164"/>
      <c r="K50" s="108"/>
      <c r="L50" s="180"/>
      <c r="M50" s="112"/>
      <c r="N50" s="108"/>
      <c r="O50" s="23" t="str">
        <f t="shared" si="1"/>
        <v>Аварийный ремонт насосов КНС.</v>
      </c>
      <c r="R50" s="22" t="s">
        <v>69</v>
      </c>
    </row>
    <row r="51" spans="1:18" ht="51" customHeight="1" outlineLevel="1">
      <c r="A51" s="163" t="str">
        <f>ПТО!A10</f>
        <v>Замена стоякового автоматического выключателя 100А.</v>
      </c>
      <c r="B51" s="163"/>
      <c r="C51" s="163"/>
      <c r="D51" s="163"/>
      <c r="E51" s="163"/>
      <c r="F51" s="168">
        <f>VLOOKUP(A51,ПТО!$A$2:$D$31,4,FALSE)</f>
        <v>2295.1999999999998</v>
      </c>
      <c r="G51" s="168"/>
      <c r="H51" s="25" t="str">
        <f>VLOOKUP(A51,ПТО!$A$2:$D$31,2,FALSE)</f>
        <v>шт.</v>
      </c>
      <c r="I51" s="164">
        <f>VLOOKUP(A51,ПТО!$A$2:$D$31,3,FALSE)</f>
        <v>1</v>
      </c>
      <c r="J51" s="164"/>
      <c r="K51" s="108"/>
      <c r="L51" s="180"/>
      <c r="M51" s="112"/>
      <c r="N51" s="108"/>
      <c r="O51" s="23" t="str">
        <f t="shared" si="1"/>
        <v>Замена стоякового автоматического выключателя 100А.</v>
      </c>
      <c r="R51" s="22" t="s">
        <v>69</v>
      </c>
    </row>
    <row r="52" spans="1:18" ht="51" customHeight="1" outlineLevel="1">
      <c r="A52" s="163" t="str">
        <f>ПТО!A11</f>
        <v>Замена рубильника ВРУ.</v>
      </c>
      <c r="B52" s="163"/>
      <c r="C52" s="163"/>
      <c r="D52" s="163"/>
      <c r="E52" s="163"/>
      <c r="F52" s="168">
        <f>VLOOKUP(A52,ПТО!$A$2:$D$31,4,FALSE)</f>
        <v>1737.39</v>
      </c>
      <c r="G52" s="168"/>
      <c r="H52" s="25" t="str">
        <f>VLOOKUP(A52,ПТО!$A$2:$D$31,2,FALSE)</f>
        <v>шт.</v>
      </c>
      <c r="I52" s="164">
        <f>VLOOKUP(A52,ПТО!$A$2:$D$31,3,FALSE)</f>
        <v>1</v>
      </c>
      <c r="J52" s="164"/>
      <c r="K52" s="108"/>
      <c r="L52" s="180"/>
      <c r="M52" s="112"/>
      <c r="N52" s="108"/>
      <c r="O52" s="23" t="str">
        <f t="shared" si="1"/>
        <v>Замена рубильника ВРУ.</v>
      </c>
      <c r="R52" s="22" t="s">
        <v>69</v>
      </c>
    </row>
    <row r="53" spans="1:18" ht="51" customHeight="1" outlineLevel="1">
      <c r="A53" s="163" t="str">
        <f>ПТО!A12</f>
        <v>Вывоз снега с придомовой территории.</v>
      </c>
      <c r="B53" s="163"/>
      <c r="C53" s="163"/>
      <c r="D53" s="163"/>
      <c r="E53" s="163"/>
      <c r="F53" s="168">
        <f>VLOOKUP(A53,ПТО!$A$2:$D$31,4,FALSE)</f>
        <v>13595.55</v>
      </c>
      <c r="G53" s="168"/>
      <c r="H53" s="25" t="str">
        <f>VLOOKUP(A53,ПТО!$A$2:$D$31,2,FALSE)</f>
        <v>усл.</v>
      </c>
      <c r="I53" s="164">
        <f>VLOOKUP(A53,ПТО!$A$2:$D$31,3,FALSE)</f>
        <v>1</v>
      </c>
      <c r="J53" s="164"/>
      <c r="K53" s="108"/>
      <c r="L53" s="180"/>
      <c r="M53" s="112"/>
      <c r="N53" s="108"/>
      <c r="O53" s="23" t="str">
        <f t="shared" si="1"/>
        <v>Вывоз снега с придомовой территории.</v>
      </c>
      <c r="R53" s="22" t="s">
        <v>69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8"/>
      <c r="L54" s="180"/>
      <c r="M54" s="112"/>
      <c r="N54" s="108"/>
      <c r="O54" s="23">
        <f t="shared" si="1"/>
        <v>0</v>
      </c>
      <c r="R54" s="22" t="s">
        <v>69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8"/>
      <c r="L55" s="180"/>
      <c r="M55" s="112"/>
      <c r="N55" s="108"/>
      <c r="O55" s="23">
        <f t="shared" si="1"/>
        <v>0</v>
      </c>
      <c r="R55" s="22" t="s">
        <v>69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8"/>
      <c r="L56" s="180"/>
      <c r="M56" s="112"/>
      <c r="N56" s="108"/>
      <c r="O56" s="23">
        <f t="shared" si="1"/>
        <v>0</v>
      </c>
      <c r="R56" s="22" t="s">
        <v>69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8"/>
      <c r="L57" s="180"/>
      <c r="M57" s="112"/>
      <c r="N57" s="108"/>
      <c r="O57" s="23">
        <f t="shared" si="1"/>
        <v>0</v>
      </c>
      <c r="R57" s="22" t="s">
        <v>69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8"/>
      <c r="L58" s="180"/>
      <c r="M58" s="112"/>
      <c r="N58" s="108"/>
      <c r="O58" s="23">
        <f t="shared" si="1"/>
        <v>0</v>
      </c>
      <c r="R58" s="22" t="s">
        <v>69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8"/>
      <c r="L59" s="180"/>
      <c r="M59" s="112"/>
      <c r="N59" s="108"/>
      <c r="O59" s="23">
        <f t="shared" si="1"/>
        <v>0</v>
      </c>
      <c r="R59" s="22" t="s">
        <v>69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8"/>
      <c r="L60" s="180"/>
      <c r="M60" s="112"/>
      <c r="N60" s="108"/>
      <c r="O60" s="23">
        <f t="shared" si="1"/>
        <v>0</v>
      </c>
      <c r="R60" s="22" t="s">
        <v>69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8"/>
      <c r="L61" s="180"/>
      <c r="M61" s="112"/>
      <c r="N61" s="108"/>
      <c r="O61" s="23">
        <f t="shared" si="1"/>
        <v>0</v>
      </c>
      <c r="R61" s="22" t="s">
        <v>69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8"/>
      <c r="L62" s="180"/>
      <c r="M62" s="112"/>
      <c r="N62" s="108"/>
      <c r="O62" s="23">
        <f t="shared" si="1"/>
        <v>0</v>
      </c>
      <c r="R62" s="22" t="s">
        <v>69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8"/>
      <c r="L63" s="180"/>
      <c r="M63" s="112"/>
      <c r="N63" s="108"/>
      <c r="O63" s="23">
        <f t="shared" si="1"/>
        <v>0</v>
      </c>
      <c r="R63" s="22" t="s">
        <v>69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8"/>
      <c r="L64" s="180"/>
      <c r="M64" s="112"/>
      <c r="N64" s="108"/>
      <c r="O64" s="23">
        <f t="shared" si="1"/>
        <v>0</v>
      </c>
      <c r="R64" s="22" t="s">
        <v>69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8"/>
      <c r="L65" s="180"/>
      <c r="M65" s="112"/>
      <c r="N65" s="108"/>
      <c r="O65" s="23">
        <f t="shared" si="1"/>
        <v>0</v>
      </c>
      <c r="R65" s="22" t="s">
        <v>69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8"/>
      <c r="L66" s="180"/>
      <c r="M66" s="112"/>
      <c r="N66" s="108"/>
      <c r="O66" s="23">
        <f t="shared" si="1"/>
        <v>0</v>
      </c>
      <c r="R66" s="22" t="s">
        <v>69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8"/>
      <c r="L67" s="180"/>
      <c r="M67" s="112"/>
      <c r="N67" s="108"/>
      <c r="O67" s="23">
        <f t="shared" si="1"/>
        <v>0</v>
      </c>
      <c r="R67" s="22" t="s">
        <v>69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8"/>
      <c r="L68" s="180"/>
      <c r="M68" s="112"/>
      <c r="N68" s="108"/>
      <c r="O68" s="23">
        <f t="shared" si="1"/>
        <v>0</v>
      </c>
      <c r="R68" s="22" t="s">
        <v>69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8"/>
      <c r="L69" s="180"/>
      <c r="M69" s="112"/>
      <c r="N69" s="108"/>
      <c r="O69" s="23">
        <f t="shared" si="1"/>
        <v>0</v>
      </c>
      <c r="R69" s="22" t="s">
        <v>69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8"/>
      <c r="L70" s="180"/>
      <c r="M70" s="112"/>
      <c r="N70" s="108"/>
      <c r="O70" s="23">
        <f t="shared" si="1"/>
        <v>0</v>
      </c>
      <c r="R70" s="22" t="s">
        <v>69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2"/>
      <c r="L71" s="180"/>
      <c r="M71" s="112"/>
      <c r="N71" s="112"/>
      <c r="O71" s="23">
        <f t="shared" si="1"/>
        <v>0</v>
      </c>
      <c r="P71" s="22"/>
      <c r="Q71" s="22"/>
      <c r="R71" s="22" t="s">
        <v>69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8"/>
      <c r="L72" s="180"/>
      <c r="M72" s="112"/>
      <c r="N72" s="108"/>
      <c r="O72" s="23">
        <f t="shared" si="1"/>
        <v>0</v>
      </c>
      <c r="R72" s="22" t="s">
        <v>69</v>
      </c>
    </row>
    <row r="73" spans="1:16384">
      <c r="A73" s="103" t="s">
        <v>170</v>
      </c>
      <c r="K73" s="108"/>
      <c r="L73" s="108"/>
      <c r="M73" s="108"/>
      <c r="N73" s="108"/>
    </row>
    <row r="74" spans="1:16384">
      <c r="A74" s="12" t="s">
        <v>27</v>
      </c>
      <c r="K74" s="108"/>
      <c r="L74" s="108"/>
      <c r="M74" s="108"/>
      <c r="N74" s="108"/>
    </row>
    <row r="75" spans="1:16384" ht="18.75" customHeight="1" outlineLevel="1">
      <c r="A75" s="181" t="s">
        <v>23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8"/>
      <c r="L75" s="183"/>
      <c r="M75" s="108"/>
      <c r="N75" s="108"/>
      <c r="O75" s="70" t="s">
        <v>95</v>
      </c>
    </row>
    <row r="76" spans="1:16384" ht="18.75" customHeight="1" outlineLevel="1">
      <c r="A76" s="181" t="s">
        <v>24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8"/>
      <c r="L76" s="183"/>
      <c r="M76" s="108"/>
      <c r="N76" s="108"/>
      <c r="O76" s="70" t="s">
        <v>96</v>
      </c>
    </row>
    <row r="77" spans="1:16384" ht="21.75" customHeight="1" outlineLevel="1">
      <c r="A77" s="181" t="s">
        <v>25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8"/>
      <c r="L77" s="183"/>
      <c r="M77" s="108"/>
      <c r="N77" s="108"/>
      <c r="O77" s="70" t="s">
        <v>97</v>
      </c>
    </row>
    <row r="78" spans="1:16384" ht="18.75" customHeight="1" outlineLevel="1">
      <c r="A78" s="181" t="s">
        <v>26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8"/>
      <c r="L78" s="183"/>
      <c r="M78" s="108"/>
      <c r="N78" s="108"/>
      <c r="O78" s="70" t="s">
        <v>98</v>
      </c>
    </row>
    <row r="79" spans="1:16384">
      <c r="A79" s="111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30</v>
      </c>
      <c r="K80" s="108"/>
      <c r="L80" s="108"/>
      <c r="M80" s="108"/>
      <c r="N80" s="108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8"/>
      <c r="L81" s="169"/>
      <c r="M81" s="108"/>
      <c r="N81" s="108"/>
      <c r="O81" s="70" t="s">
        <v>99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8"/>
      <c r="L82" s="169"/>
      <c r="M82" s="108"/>
      <c r="N82" s="108"/>
      <c r="O82" s="70" t="s">
        <v>100</v>
      </c>
    </row>
    <row r="83" spans="1:15" outlineLevel="1">
      <c r="A83" s="175" t="s">
        <v>4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46162.46</v>
      </c>
      <c r="K83" s="108"/>
      <c r="L83" s="169"/>
      <c r="M83" s="108"/>
      <c r="N83" s="108"/>
      <c r="O83" s="70" t="s">
        <v>101</v>
      </c>
    </row>
    <row r="84" spans="1:15" outlineLevel="1">
      <c r="A84" s="175" t="s">
        <v>16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8"/>
      <c r="L84" s="169"/>
      <c r="M84" s="108"/>
      <c r="N84" s="108"/>
      <c r="O84" s="70" t="s">
        <v>102</v>
      </c>
    </row>
    <row r="85" spans="1:15" outlineLevel="1">
      <c r="A85" s="175" t="s">
        <v>17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8"/>
      <c r="L85" s="169"/>
      <c r="M85" s="108"/>
      <c r="N85" s="108"/>
      <c r="O85" s="70" t="s">
        <v>103</v>
      </c>
    </row>
    <row r="86" spans="1:15" outlineLevel="1">
      <c r="A86" s="175" t="s">
        <v>18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3641.66</v>
      </c>
      <c r="K86" s="108"/>
      <c r="L86" s="169"/>
      <c r="M86" s="108"/>
      <c r="N86" s="108"/>
      <c r="O86" s="70" t="s">
        <v>104</v>
      </c>
    </row>
    <row r="87" spans="1:15" ht="18.75" customHeight="1" outlineLevel="1">
      <c r="A87" s="175" t="s">
        <v>23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8"/>
      <c r="L87" s="169"/>
      <c r="M87" s="108"/>
      <c r="N87" s="108"/>
      <c r="O87" s="70" t="s">
        <v>105</v>
      </c>
    </row>
    <row r="88" spans="1:15" ht="18.75" customHeight="1" outlineLevel="1">
      <c r="A88" s="175" t="s">
        <v>24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8"/>
      <c r="L88" s="169"/>
      <c r="M88" s="108"/>
      <c r="N88" s="108"/>
      <c r="O88" s="70" t="s">
        <v>106</v>
      </c>
    </row>
    <row r="89" spans="1:15" ht="18.75" customHeight="1" outlineLevel="1">
      <c r="A89" s="175" t="s">
        <v>25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8"/>
      <c r="L89" s="169"/>
      <c r="M89" s="108"/>
      <c r="N89" s="108"/>
      <c r="O89" s="70" t="s">
        <v>107</v>
      </c>
    </row>
    <row r="90" spans="1:15" ht="18.75" customHeight="1" outlineLevel="1">
      <c r="A90" s="175" t="s">
        <v>26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8"/>
      <c r="L90" s="169"/>
      <c r="M90" s="108"/>
      <c r="N90" s="108"/>
      <c r="O90" s="70" t="s">
        <v>108</v>
      </c>
    </row>
    <row r="91" spans="1:15">
      <c r="A91" s="103" t="s">
        <v>170</v>
      </c>
      <c r="K91" s="108"/>
      <c r="L91" s="108"/>
      <c r="M91" s="108"/>
      <c r="N91" s="108"/>
    </row>
    <row r="92" spans="1:15">
      <c r="A92" s="11" t="s">
        <v>31</v>
      </c>
      <c r="K92" s="108"/>
      <c r="L92" s="108"/>
      <c r="M92" s="108"/>
      <c r="N92" s="108"/>
    </row>
    <row r="93" spans="1:15" ht="30.75" customHeight="1" outlineLevel="1">
      <c r="A93" s="184" t="s">
        <v>44</v>
      </c>
      <c r="B93" s="184"/>
      <c r="C93" s="184"/>
      <c r="D93" s="185" t="s">
        <v>45</v>
      </c>
      <c r="E93" s="185"/>
      <c r="F93" s="10" t="s">
        <v>46</v>
      </c>
      <c r="G93" s="184" t="s">
        <v>47</v>
      </c>
      <c r="H93" s="184"/>
      <c r="I93" s="184"/>
      <c r="J93" s="184"/>
      <c r="K93" s="108"/>
      <c r="L93" s="108"/>
      <c r="M93" s="108"/>
      <c r="N93" s="108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6">
        <f>IF(VLOOKUP("эл",АО,3,FALSE)&gt;0,VLOOKUP("эл",АО,3,FALSE),0)</f>
        <v>0</v>
      </c>
      <c r="E94" s="166"/>
      <c r="F94" s="13">
        <f>IF(VLOOKUP("эл",АО,3,FALSE)&gt;0,VLOOKUP("эл",АО,4,FALSE),0)</f>
        <v>0</v>
      </c>
      <c r="G94" s="167">
        <f>VLOOKUP("эл",АО,5,FALSE)</f>
        <v>0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hidden="1" outlineLevel="2">
      <c r="A95" s="182">
        <f>IF(VLOOKUP("эл",АО,3,FALSE)&gt;0,VLOOKUP("эл1",АО,2,FALSE),0)</f>
        <v>0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0</v>
      </c>
      <c r="L95" s="170"/>
      <c r="O95" s="1" t="s">
        <v>109</v>
      </c>
    </row>
    <row r="96" spans="1:15" hidden="1" outlineLevel="2">
      <c r="A96" s="182">
        <f>IF(VLOOKUP("эл",АО,3,FALSE)&gt;0,VLOOKUP("эл2",АО,2,FALSE),0)</f>
        <v>0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0</v>
      </c>
      <c r="L96" s="170"/>
      <c r="O96" s="1" t="s">
        <v>110</v>
      </c>
    </row>
    <row r="97" spans="1:15" hidden="1" outlineLevel="2">
      <c r="A97" s="182">
        <f>IF(VLOOKUP("эл",АО,3,FALSE)&gt;0,VLOOKUP("эл3",АО,2,FALSE),0)</f>
        <v>0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111</v>
      </c>
    </row>
    <row r="98" spans="1:15" ht="37.5" hidden="1" customHeight="1" outlineLevel="2">
      <c r="A98" s="182">
        <f>IF(VLOOKUP("эл",АО,3,FALSE)&gt;0,VLOOKUP("эл4",АО,2,FALSE),0)</f>
        <v>0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0</v>
      </c>
      <c r="L98" s="170"/>
      <c r="O98" s="1" t="s">
        <v>112</v>
      </c>
    </row>
    <row r="99" spans="1:15" hidden="1" outlineLevel="2">
      <c r="A99" s="182">
        <f>IF(VLOOKUP("эл",АО,3,FALSE)&gt;0,VLOOKUP("эл5",АО,2,FALSE),0)</f>
        <v>0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0</v>
      </c>
      <c r="L99" s="170"/>
      <c r="O99" s="1" t="s">
        <v>113</v>
      </c>
    </row>
    <row r="100" spans="1:15" ht="39" hidden="1" customHeight="1" outlineLevel="2">
      <c r="A100" s="182">
        <f>IF(VLOOKUP("эл",АО,3,FALSE)&gt;0,VLOOKUP("эл6",АО,2,FALSE),0)</f>
        <v>0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114</v>
      </c>
    </row>
    <row r="101" spans="1:15" ht="34.5" hidden="1" customHeight="1" outlineLevel="2">
      <c r="A101" s="182">
        <f>IF(VLOOKUP("эл",АО,3,FALSE)&gt;0,VLOOKUP("эл7",АО,2,FALSE),0)</f>
        <v>0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115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26541.78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2093.1999999999998</v>
      </c>
      <c r="L103" s="170"/>
      <c r="O103" s="1" t="s">
        <v>118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23533.09</v>
      </c>
      <c r="L104" s="170"/>
      <c r="O104" s="1" t="s">
        <v>119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3008.6899999999987</v>
      </c>
      <c r="L105" s="170"/>
      <c r="O105" s="1" t="s">
        <v>120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26541.78</v>
      </c>
      <c r="L106" s="170"/>
      <c r="O106" s="1" t="s">
        <v>121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26541.78</v>
      </c>
      <c r="L107" s="170"/>
      <c r="O107" s="1" t="s">
        <v>122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123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124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48863.92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3598.23</v>
      </c>
      <c r="L111" s="170"/>
      <c r="O111" s="1" t="s">
        <v>126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43324.87</v>
      </c>
      <c r="L112" s="170"/>
      <c r="O112" s="1" t="s">
        <v>127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5539.0499999999956</v>
      </c>
      <c r="L113" s="170"/>
      <c r="O113" s="1" t="s">
        <v>128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48863.92</v>
      </c>
      <c r="L114" s="170"/>
      <c r="O114" s="1" t="s">
        <v>129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48863.92</v>
      </c>
      <c r="L115" s="170"/>
      <c r="O115" s="1" t="s">
        <v>130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131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132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6">
        <f>IF(VLOOKUP("тко",АО,3,FALSE)&gt;0,VLOOKUP("тко",АО,3,FALSE),0)</f>
        <v>0</v>
      </c>
      <c r="E118" s="166"/>
      <c r="F118" s="13">
        <f>IF(VLOOKUP("тко",АО,3,FALSE)&gt;0,VLOOKUP("тко",АО,4,FALSE),0)</f>
        <v>0</v>
      </c>
      <c r="G118" s="167">
        <f>VLOOKUP("тко",АО,5,FALSE)</f>
        <v>0</v>
      </c>
      <c r="H118" s="166"/>
      <c r="I118" s="166"/>
      <c r="J118" s="166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255</v>
      </c>
      <c r="L119" s="47"/>
      <c r="O119" s="1" t="s">
        <v>134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140000</v>
      </c>
      <c r="L120" s="47"/>
      <c r="O120" s="1" t="s">
        <v>135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136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137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138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139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140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142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143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144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145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146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147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148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150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151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152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153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154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155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156</v>
      </c>
    </row>
    <row r="143" spans="1:15">
      <c r="A143" s="11" t="s">
        <v>40</v>
      </c>
    </row>
    <row r="144" spans="1:15" ht="18.75" customHeight="1" outlineLevel="1">
      <c r="A144" s="161" t="s">
        <v>41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166</v>
      </c>
    </row>
    <row r="145" spans="1:15" ht="18.75" customHeight="1" outlineLevel="1">
      <c r="A145" s="161" t="s">
        <v>42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0</v>
      </c>
      <c r="L145" s="15"/>
      <c r="O145" t="s">
        <v>167</v>
      </c>
    </row>
    <row r="146" spans="1:15" ht="30" customHeight="1" outlineLevel="1">
      <c r="A146" s="161" t="s">
        <v>169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168</v>
      </c>
    </row>
    <row r="149" spans="1:15" ht="52.5" customHeight="1">
      <c r="A149" s="186" t="s">
        <v>180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0</v>
      </c>
      <c r="E151" s="3" t="s">
        <v>182</v>
      </c>
    </row>
    <row r="152" spans="1:15">
      <c r="A152" s="1" t="s">
        <v>1</v>
      </c>
      <c r="E152" s="3" t="s">
        <v>183</v>
      </c>
    </row>
    <row r="154" spans="1:15" ht="39.75" customHeight="1">
      <c r="A154" s="188" t="s">
        <v>184</v>
      </c>
      <c r="B154" s="188"/>
      <c r="C154" s="188"/>
      <c r="D154" s="188"/>
      <c r="E154" s="27">
        <f>ПТО!G1</f>
        <v>-132668.98000000001</v>
      </c>
    </row>
    <row r="155" spans="1:15" ht="34.5" customHeight="1">
      <c r="A155" s="187" t="s">
        <v>185</v>
      </c>
      <c r="B155" s="187"/>
      <c r="C155" s="187"/>
      <c r="D155" s="187"/>
      <c r="E155" s="28">
        <f>J13</f>
        <v>47154.6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53</v>
      </c>
      <c r="I157" s="171" t="s">
        <v>21</v>
      </c>
      <c r="J157" s="171"/>
    </row>
    <row r="158" spans="1:15" ht="29.25" customHeight="1">
      <c r="A158" s="163" t="str">
        <f t="shared" ref="A158:A163" si="14">IF(N158&gt;0,N158,0)</f>
        <v>Тех. обслуживание охранной сигнализации.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5400</v>
      </c>
      <c r="G158" s="168"/>
      <c r="H158" s="24" t="str">
        <f t="shared" ref="H158:H187" si="16">VLOOKUP(A158,$A$28:$J$72,8,FALSE)</f>
        <v>мес.</v>
      </c>
      <c r="I158" s="164">
        <f t="shared" ref="I158:I161" si="17">VLOOKUP(A158,$A$28:$J$72,9,FALSE)</f>
        <v>12</v>
      </c>
      <c r="J158" s="164"/>
      <c r="M158" s="22" t="s">
        <v>69</v>
      </c>
      <c r="N158" s="1" t="str">
        <f>ПТО!A2</f>
        <v>Тех. обслуживание охранной сигнализации.</v>
      </c>
    </row>
    <row r="159" spans="1:15" ht="28.5" customHeight="1">
      <c r="A159" s="163" t="str">
        <f t="shared" si="14"/>
        <v>Устранение аварии на канализационных сетях и КНС в феврале.</v>
      </c>
      <c r="B159" s="163"/>
      <c r="C159" s="163"/>
      <c r="D159" s="163"/>
      <c r="E159" s="163"/>
      <c r="F159" s="168">
        <f t="shared" si="15"/>
        <v>1203.3499999999999</v>
      </c>
      <c r="G159" s="168"/>
      <c r="H159" s="24" t="str">
        <f t="shared" si="16"/>
        <v>шт.</v>
      </c>
      <c r="I159" s="164">
        <f t="shared" si="17"/>
        <v>1</v>
      </c>
      <c r="J159" s="164"/>
      <c r="M159" s="22" t="s">
        <v>69</v>
      </c>
      <c r="N159" s="1" t="str">
        <f>ПТО!A3</f>
        <v>Устранение аварии на канализационных сетях и КНС в феврале.</v>
      </c>
    </row>
    <row r="160" spans="1:15" ht="28.5" customHeight="1">
      <c r="A160" s="163" t="str">
        <f t="shared" si="14"/>
        <v>Вывоз снега сброшенного с кровли.</v>
      </c>
      <c r="B160" s="163"/>
      <c r="C160" s="163"/>
      <c r="D160" s="163"/>
      <c r="E160" s="163"/>
      <c r="F160" s="168">
        <f t="shared" si="15"/>
        <v>7500</v>
      </c>
      <c r="G160" s="168"/>
      <c r="H160" s="24" t="str">
        <f t="shared" si="16"/>
        <v xml:space="preserve">шт. </v>
      </c>
      <c r="I160" s="164">
        <f t="shared" si="17"/>
        <v>1</v>
      </c>
      <c r="J160" s="164"/>
      <c r="M160" s="22" t="s">
        <v>69</v>
      </c>
      <c r="N160" s="1" t="str">
        <f>ПТО!A4</f>
        <v>Вывоз снега сброшенного с кровли.</v>
      </c>
    </row>
    <row r="161" spans="1:14" ht="28.5" customHeight="1">
      <c r="A161" s="163" t="str">
        <f>IF(N161&gt;0,N161,0)</f>
        <v>Таль, строп для подъёма насосов КНС.</v>
      </c>
      <c r="B161" s="163"/>
      <c r="C161" s="163"/>
      <c r="D161" s="163"/>
      <c r="E161" s="163"/>
      <c r="F161" s="168">
        <f t="shared" si="15"/>
        <v>174.47</v>
      </c>
      <c r="G161" s="168"/>
      <c r="H161" s="24" t="str">
        <f t="shared" si="16"/>
        <v>шт.</v>
      </c>
      <c r="I161" s="164">
        <f t="shared" si="17"/>
        <v>1</v>
      </c>
      <c r="J161" s="164"/>
      <c r="M161" s="22" t="s">
        <v>69</v>
      </c>
      <c r="N161" s="1" t="str">
        <f>ПТО!A5</f>
        <v>Таль, строп для подъёма насосов КНС.</v>
      </c>
    </row>
    <row r="162" spans="1:14" ht="28.5" customHeight="1">
      <c r="A162" s="163" t="str">
        <f t="shared" si="14"/>
        <v>Благоустройство придомовой территории (приобретение рассады).</v>
      </c>
      <c r="B162" s="163"/>
      <c r="C162" s="163"/>
      <c r="D162" s="163"/>
      <c r="E162" s="163"/>
      <c r="F162" s="168">
        <f t="shared" si="15"/>
        <v>1323</v>
      </c>
      <c r="G162" s="168"/>
      <c r="H162" s="24" t="str">
        <f t="shared" si="16"/>
        <v>шт.</v>
      </c>
      <c r="I162" s="164">
        <f>VLOOKUP(A162,$A$28:$J$72,9,FALSE)</f>
        <v>1</v>
      </c>
      <c r="J162" s="164"/>
      <c r="M162" s="22" t="s">
        <v>69</v>
      </c>
      <c r="N162" s="1" t="str">
        <f>ПТО!A6</f>
        <v>Благоустройство придомовой территории (приобретение рассады).</v>
      </c>
    </row>
    <row r="163" spans="1:14" ht="28.5" customHeight="1">
      <c r="A163" s="163" t="str">
        <f t="shared" si="14"/>
        <v>Ремонт подъезда.</v>
      </c>
      <c r="B163" s="163"/>
      <c r="C163" s="163"/>
      <c r="D163" s="163"/>
      <c r="E163" s="163"/>
      <c r="F163" s="168">
        <f t="shared" si="15"/>
        <v>131000</v>
      </c>
      <c r="G163" s="168"/>
      <c r="H163" s="24" t="str">
        <f t="shared" si="16"/>
        <v>шт.</v>
      </c>
      <c r="I163" s="164">
        <f>VLOOKUP(A163,$A$28:$J$72,9,FALSE)</f>
        <v>1</v>
      </c>
      <c r="J163" s="164"/>
      <c r="M163" s="22" t="s">
        <v>69</v>
      </c>
      <c r="N163" s="1" t="str">
        <f>ПТО!A7</f>
        <v>Ремонт подъезда.</v>
      </c>
    </row>
    <row r="164" spans="1:14" ht="28.5" customHeight="1">
      <c r="A164" s="163" t="str">
        <f t="shared" ref="A164:A187" si="18">IF(N164&gt;0,N164,0)</f>
        <v>Замена счетчика учета эл.энергии на ТП.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1506.27</v>
      </c>
      <c r="G164" s="168"/>
      <c r="H164" s="29" t="str">
        <f t="shared" si="16"/>
        <v>шт.</v>
      </c>
      <c r="I164" s="164">
        <f t="shared" ref="I164:I187" si="20">VLOOKUP(A164,$A$28:$J$72,9,FALSE)</f>
        <v>1</v>
      </c>
      <c r="J164" s="164"/>
      <c r="M164" s="22" t="s">
        <v>69</v>
      </c>
      <c r="N164" s="1" t="str">
        <f>ПТО!A8</f>
        <v>Замена счетчика учета эл.энергии на ТП.</v>
      </c>
    </row>
    <row r="165" spans="1:14" ht="28.5" customHeight="1">
      <c r="A165" s="163" t="str">
        <f t="shared" si="18"/>
        <v>Аварийный ремонт насосов КНС.</v>
      </c>
      <c r="B165" s="163"/>
      <c r="C165" s="163"/>
      <c r="D165" s="163"/>
      <c r="E165" s="163"/>
      <c r="F165" s="168">
        <f t="shared" si="19"/>
        <v>771.76</v>
      </c>
      <c r="G165" s="168"/>
      <c r="H165" s="29" t="str">
        <f t="shared" si="16"/>
        <v>усл.</v>
      </c>
      <c r="I165" s="164">
        <f t="shared" si="20"/>
        <v>1</v>
      </c>
      <c r="J165" s="164"/>
      <c r="M165" s="22" t="s">
        <v>69</v>
      </c>
      <c r="N165" s="1" t="str">
        <f>ПТО!A9</f>
        <v>Аварийный ремонт насосов КНС.</v>
      </c>
    </row>
    <row r="166" spans="1:14" ht="28.5" customHeight="1">
      <c r="A166" s="163" t="str">
        <f t="shared" si="18"/>
        <v>Замена стоякового автоматического выключателя 100А.</v>
      </c>
      <c r="B166" s="163"/>
      <c r="C166" s="163"/>
      <c r="D166" s="163"/>
      <c r="E166" s="163"/>
      <c r="F166" s="168">
        <f t="shared" si="19"/>
        <v>2295.1999999999998</v>
      </c>
      <c r="G166" s="168"/>
      <c r="H166" s="29" t="str">
        <f t="shared" si="16"/>
        <v>шт.</v>
      </c>
      <c r="I166" s="164">
        <f t="shared" si="20"/>
        <v>1</v>
      </c>
      <c r="J166" s="164"/>
      <c r="M166" s="22" t="s">
        <v>69</v>
      </c>
      <c r="N166" s="1" t="str">
        <f>ПТО!A10</f>
        <v>Замена стоякового автоматического выключателя 100А.</v>
      </c>
    </row>
    <row r="167" spans="1:14" ht="28.5" customHeight="1">
      <c r="A167" s="163" t="str">
        <f t="shared" si="18"/>
        <v>Замена рубильника ВРУ.</v>
      </c>
      <c r="B167" s="163"/>
      <c r="C167" s="163"/>
      <c r="D167" s="163"/>
      <c r="E167" s="163"/>
      <c r="F167" s="168">
        <f t="shared" si="19"/>
        <v>1737.39</v>
      </c>
      <c r="G167" s="168"/>
      <c r="H167" s="29" t="str">
        <f t="shared" si="16"/>
        <v>шт.</v>
      </c>
      <c r="I167" s="164">
        <f t="shared" si="20"/>
        <v>1</v>
      </c>
      <c r="J167" s="164"/>
      <c r="M167" s="22" t="s">
        <v>69</v>
      </c>
      <c r="N167" s="1" t="str">
        <f>ПТО!A11</f>
        <v>Замена рубильника ВРУ.</v>
      </c>
    </row>
    <row r="168" spans="1:14" ht="28.5" customHeight="1">
      <c r="A168" s="163" t="str">
        <f t="shared" si="18"/>
        <v>Вывоз снега с придомовой территории.</v>
      </c>
      <c r="B168" s="163"/>
      <c r="C168" s="163"/>
      <c r="D168" s="163"/>
      <c r="E168" s="163"/>
      <c r="F168" s="168">
        <f t="shared" si="19"/>
        <v>13595.55</v>
      </c>
      <c r="G168" s="168"/>
      <c r="H168" s="29" t="str">
        <f t="shared" si="16"/>
        <v>усл.</v>
      </c>
      <c r="I168" s="164">
        <f t="shared" si="20"/>
        <v>1</v>
      </c>
      <c r="J168" s="164"/>
      <c r="M168" s="22" t="s">
        <v>69</v>
      </c>
      <c r="N168" s="1" t="str">
        <f>ПТО!A12</f>
        <v>Вывоз снега с придомовой территории.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69</v>
      </c>
      <c r="N169" s="1">
        <f>ПТО!A13</f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69</v>
      </c>
      <c r="N170" s="1">
        <f>ПТО!A14</f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69</v>
      </c>
      <c r="N171" s="1">
        <f>ПТО!A15</f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69</v>
      </c>
      <c r="N172" s="1">
        <f>ПТО!A16</f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69</v>
      </c>
      <c r="N173" s="1">
        <f>ПТО!A17</f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69</v>
      </c>
      <c r="N174" s="1">
        <f>ПТО!A18</f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69</v>
      </c>
      <c r="N175" s="1">
        <f>ПТО!A19</f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69</v>
      </c>
      <c r="N176" s="1">
        <f>ПТО!A20</f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69</v>
      </c>
      <c r="N177" s="1">
        <f>ПТО!A21</f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69</v>
      </c>
      <c r="N178" s="1">
        <f>ПТО!A22</f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69</v>
      </c>
      <c r="N179" s="1">
        <f>ПТО!A23</f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69</v>
      </c>
      <c r="N180" s="1">
        <f>ПТО!A24</f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69</v>
      </c>
      <c r="N181" s="1">
        <f>ПТО!A25</f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69</v>
      </c>
      <c r="N182" s="1">
        <f>ПТО!A26</f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69</v>
      </c>
      <c r="N183" s="1">
        <f>ПТО!A27</f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69</v>
      </c>
      <c r="N184" s="1">
        <f>ПТО!A28</f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69</v>
      </c>
      <c r="N185" s="1">
        <f>ПТО!A29</f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69</v>
      </c>
      <c r="N186" s="1">
        <f>ПТО!A30</f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69</v>
      </c>
      <c r="N187" s="1">
        <f>ПТО!A31</f>
        <v>0</v>
      </c>
    </row>
    <row r="188" spans="1:14" ht="29.25" customHeight="1">
      <c r="A188" s="103" t="s">
        <v>170</v>
      </c>
    </row>
    <row r="189" spans="1:14" ht="29.25" customHeight="1">
      <c r="A189" s="103" t="s">
        <v>170</v>
      </c>
    </row>
    <row r="190" spans="1:14" ht="36.75" customHeight="1">
      <c r="A190" s="188" t="s">
        <v>186</v>
      </c>
      <c r="B190" s="188"/>
      <c r="C190" s="188"/>
      <c r="D190" s="188"/>
      <c r="E190" s="27">
        <f>SUM(F158:G187)</f>
        <v>166506.99000000002</v>
      </c>
    </row>
    <row r="191" spans="1:14" ht="51.75" customHeight="1">
      <c r="A191" s="188" t="s">
        <v>187</v>
      </c>
      <c r="B191" s="188"/>
      <c r="C191" s="188"/>
      <c r="D191" s="188"/>
      <c r="E191" s="27">
        <f>E190+E154-E155</f>
        <v>-13316.589999999989</v>
      </c>
    </row>
    <row r="192" spans="1:14">
      <c r="A192" s="103" t="s">
        <v>170</v>
      </c>
    </row>
    <row r="193" spans="1:10" ht="62.25" customHeight="1">
      <c r="A193" s="162" t="s">
        <v>188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техническое обслуживание охранной сигнализации</v>
      </c>
      <c r="B194" s="160"/>
      <c r="C194" s="160"/>
      <c r="D194" s="160"/>
      <c r="E194" s="160"/>
      <c r="F194" s="160"/>
      <c r="G194" s="160"/>
      <c r="H194" s="49">
        <f>ПТО!G12</f>
        <v>5400</v>
      </c>
      <c r="I194" s="50" t="s">
        <v>71</v>
      </c>
    </row>
    <row r="195" spans="1:10" ht="18.75" customHeight="1">
      <c r="A195" s="160" t="str">
        <f>ПТО!F13</f>
        <v xml:space="preserve">  -  поверка (замена) манометров и термометров</v>
      </c>
      <c r="B195" s="160"/>
      <c r="C195" s="160"/>
      <c r="D195" s="160"/>
      <c r="E195" s="160"/>
      <c r="F195" s="160"/>
      <c r="G195" s="160"/>
      <c r="H195" s="49">
        <f>ПТО!G13</f>
        <v>1500</v>
      </c>
      <c r="I195" s="50" t="s">
        <v>71</v>
      </c>
    </row>
    <row r="196" spans="1:10" ht="18.75" customHeight="1">
      <c r="A196" s="160" t="str">
        <f>ПТО!F14</f>
        <v xml:space="preserve">  -  работы по выбору (решению) общего собрания или совета дома</v>
      </c>
      <c r="B196" s="160"/>
      <c r="C196" s="160"/>
      <c r="D196" s="160"/>
      <c r="E196" s="160"/>
      <c r="F196" s="160"/>
      <c r="G196" s="160"/>
      <c r="H196" s="49">
        <f>ПТО!G14</f>
        <v>24000</v>
      </c>
      <c r="I196" s="50" t="s">
        <v>71</v>
      </c>
    </row>
    <row r="197" spans="1:10" ht="18.75" hidden="1" customHeight="1">
      <c r="A197" s="160">
        <f>ПТО!F15</f>
        <v>0</v>
      </c>
      <c r="B197" s="160"/>
      <c r="C197" s="160"/>
      <c r="D197" s="160"/>
      <c r="E197" s="160"/>
      <c r="F197" s="160"/>
      <c r="G197" s="160"/>
      <c r="H197" s="49">
        <f>ПТО!G15</f>
        <v>0</v>
      </c>
      <c r="I197" s="50" t="s">
        <v>71</v>
      </c>
    </row>
    <row r="198" spans="1:10" ht="18.75" hidden="1" customHeight="1">
      <c r="A198" s="160">
        <f>ПТО!F16</f>
        <v>0</v>
      </c>
      <c r="B198" s="160"/>
      <c r="C198" s="160"/>
      <c r="D198" s="160"/>
      <c r="E198" s="160"/>
      <c r="F198" s="160"/>
      <c r="G198" s="160"/>
      <c r="H198" s="49">
        <f>ПТО!G16</f>
        <v>0</v>
      </c>
      <c r="I198" s="52" t="s">
        <v>71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49">
        <f>ПТО!G17</f>
        <v>0</v>
      </c>
      <c r="I199" s="50" t="s">
        <v>71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49">
        <f>ПТО!G18</f>
        <v>0</v>
      </c>
      <c r="I200" s="50" t="s">
        <v>71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49">
        <f>ПТО!G19</f>
        <v>0</v>
      </c>
      <c r="I201" s="50" t="s">
        <v>71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49">
        <f>ПТО!G20</f>
        <v>0</v>
      </c>
      <c r="I202" s="50" t="s">
        <v>71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49">
        <f>ПТО!G21</f>
        <v>0</v>
      </c>
      <c r="I203" s="50" t="s">
        <v>71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9">
        <f>ПТО!G22</f>
        <v>0</v>
      </c>
      <c r="I204" s="50" t="s">
        <v>71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71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71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71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71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71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71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71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71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71</v>
      </c>
    </row>
    <row r="214" spans="1:9">
      <c r="A214" s="53" t="s">
        <v>72</v>
      </c>
      <c r="B214" s="54"/>
      <c r="C214" s="54"/>
      <c r="D214" s="54"/>
      <c r="E214" s="54"/>
      <c r="F214" s="54"/>
      <c r="G214" s="54"/>
      <c r="H214" s="55">
        <f>SUM(H194:H213)</f>
        <v>30900</v>
      </c>
      <c r="I214" s="56" t="s">
        <v>73</v>
      </c>
    </row>
  </sheetData>
  <sheetProtection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L8" sqref="L8:L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2" max="12" width="10.28515625" bestFit="1" customWidth="1"/>
    <col min="14" max="14" width="10" bestFit="1" customWidth="1"/>
  </cols>
  <sheetData>
    <row r="1" spans="1:12" ht="110.25" customHeight="1" thickBot="1">
      <c r="A1" s="35" t="s">
        <v>19</v>
      </c>
      <c r="B1" s="35" t="s">
        <v>53</v>
      </c>
      <c r="C1" s="35" t="s">
        <v>21</v>
      </c>
      <c r="D1" s="35" t="s">
        <v>20</v>
      </c>
      <c r="E1" s="34"/>
      <c r="F1" s="100" t="s">
        <v>67</v>
      </c>
      <c r="G1" s="114">
        <f>-132668.98</f>
        <v>-132668.98000000001</v>
      </c>
    </row>
    <row r="2" spans="1:12" ht="18.75" customHeight="1">
      <c r="A2" s="149" t="s">
        <v>181</v>
      </c>
      <c r="B2" s="142" t="s">
        <v>179</v>
      </c>
      <c r="C2" s="150">
        <v>12</v>
      </c>
      <c r="D2" s="151">
        <f>1800*12*0.25</f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189</v>
      </c>
      <c r="B3" s="152" t="s">
        <v>178</v>
      </c>
      <c r="C3" s="144">
        <v>1</v>
      </c>
      <c r="D3" s="131">
        <v>1203.3499999999999</v>
      </c>
      <c r="E3" s="116"/>
      <c r="F3" s="30"/>
      <c r="G3" s="30"/>
      <c r="L3" s="33" t="str">
        <f t="shared" si="0"/>
        <v>ТР</v>
      </c>
    </row>
    <row r="4" spans="1:12" ht="18.75" customHeight="1">
      <c r="A4" s="127" t="s">
        <v>190</v>
      </c>
      <c r="B4" s="142" t="s">
        <v>199</v>
      </c>
      <c r="C4" s="153">
        <v>1</v>
      </c>
      <c r="D4" s="131">
        <v>7500</v>
      </c>
      <c r="E4" s="115"/>
      <c r="F4" s="30"/>
      <c r="G4" s="30"/>
      <c r="L4" s="33" t="str">
        <f t="shared" si="0"/>
        <v>ТР</v>
      </c>
    </row>
    <row r="5" spans="1:12" ht="18.75" customHeight="1">
      <c r="A5" s="129" t="s">
        <v>191</v>
      </c>
      <c r="B5" s="142" t="s">
        <v>178</v>
      </c>
      <c r="C5" s="150">
        <v>1</v>
      </c>
      <c r="D5" s="154">
        <v>174.47</v>
      </c>
      <c r="E5" s="115"/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192</v>
      </c>
      <c r="B6" s="152" t="s">
        <v>178</v>
      </c>
      <c r="C6" s="148">
        <v>1</v>
      </c>
      <c r="D6" s="130">
        <v>1323</v>
      </c>
      <c r="E6" s="115"/>
      <c r="F6" s="44"/>
      <c r="G6" s="44"/>
      <c r="K6" s="46"/>
      <c r="L6" s="33" t="str">
        <f t="shared" si="0"/>
        <v>ТР</v>
      </c>
    </row>
    <row r="7" spans="1:12" ht="18.75" customHeight="1">
      <c r="A7" s="127" t="s">
        <v>193</v>
      </c>
      <c r="B7" s="155" t="s">
        <v>178</v>
      </c>
      <c r="C7" s="156">
        <v>1</v>
      </c>
      <c r="D7" s="157">
        <v>131000</v>
      </c>
      <c r="E7" s="119"/>
      <c r="F7" s="45"/>
      <c r="G7" s="45"/>
      <c r="K7" s="46"/>
      <c r="L7" s="33" t="str">
        <f t="shared" si="0"/>
        <v>ТР</v>
      </c>
    </row>
    <row r="8" spans="1:12" ht="18.75" customHeight="1">
      <c r="A8" s="127" t="s">
        <v>194</v>
      </c>
      <c r="B8" s="158" t="s">
        <v>178</v>
      </c>
      <c r="C8" s="159">
        <v>1</v>
      </c>
      <c r="D8" s="134">
        <v>1506.27</v>
      </c>
      <c r="E8" s="120"/>
      <c r="F8" s="45"/>
      <c r="G8" s="45"/>
      <c r="K8" s="43"/>
      <c r="L8" s="33" t="str">
        <f t="shared" si="0"/>
        <v>ТР</v>
      </c>
    </row>
    <row r="9" spans="1:12">
      <c r="A9" s="127" t="s">
        <v>195</v>
      </c>
      <c r="B9" s="155" t="s">
        <v>200</v>
      </c>
      <c r="C9" s="156">
        <v>1</v>
      </c>
      <c r="D9" s="134">
        <v>771.76</v>
      </c>
      <c r="E9" s="121"/>
      <c r="F9" s="44"/>
      <c r="G9" s="44"/>
      <c r="K9" s="43"/>
      <c r="L9" s="33" t="str">
        <f t="shared" si="0"/>
        <v>ТР</v>
      </c>
    </row>
    <row r="10" spans="1:12">
      <c r="A10" s="127" t="s">
        <v>196</v>
      </c>
      <c r="B10" s="155" t="s">
        <v>178</v>
      </c>
      <c r="C10" s="156">
        <v>1</v>
      </c>
      <c r="D10" s="134">
        <v>2295.1999999999998</v>
      </c>
      <c r="E10" s="125"/>
      <c r="L10" s="33" t="str">
        <f t="shared" si="0"/>
        <v>ТР</v>
      </c>
    </row>
    <row r="11" spans="1:12" ht="94.5">
      <c r="A11" s="127" t="s">
        <v>197</v>
      </c>
      <c r="B11" s="155" t="s">
        <v>178</v>
      </c>
      <c r="C11" s="156">
        <v>1</v>
      </c>
      <c r="D11" s="134">
        <v>1737.39</v>
      </c>
      <c r="F11" s="110" t="s">
        <v>188</v>
      </c>
      <c r="G11" s="110"/>
      <c r="L11" s="33" t="str">
        <f t="shared" si="0"/>
        <v>ТР</v>
      </c>
    </row>
    <row r="12" spans="1:12">
      <c r="A12" s="126" t="s">
        <v>198</v>
      </c>
      <c r="B12" s="141" t="s">
        <v>200</v>
      </c>
      <c r="C12" s="145">
        <v>1</v>
      </c>
      <c r="D12" s="132">
        <v>13595.55</v>
      </c>
      <c r="F12" s="136" t="s">
        <v>201</v>
      </c>
      <c r="G12" s="137">
        <v>5400</v>
      </c>
      <c r="L12" s="33" t="str">
        <f t="shared" si="0"/>
        <v>ТР</v>
      </c>
    </row>
    <row r="13" spans="1:12">
      <c r="A13" s="128"/>
      <c r="B13" s="141"/>
      <c r="C13" s="145"/>
      <c r="D13" s="133"/>
      <c r="F13" s="135" t="s">
        <v>70</v>
      </c>
      <c r="G13" s="137">
        <v>1500</v>
      </c>
      <c r="L13" s="33">
        <f t="shared" si="0"/>
        <v>0</v>
      </c>
    </row>
    <row r="14" spans="1:12">
      <c r="A14" s="128"/>
      <c r="B14" s="140"/>
      <c r="C14" s="144"/>
      <c r="D14" s="130"/>
      <c r="F14" s="135" t="s">
        <v>202</v>
      </c>
      <c r="G14" s="41">
        <v>24000</v>
      </c>
      <c r="L14" s="33">
        <f t="shared" si="0"/>
        <v>0</v>
      </c>
    </row>
    <row r="15" spans="1:12">
      <c r="A15" s="128"/>
      <c r="B15" s="140"/>
      <c r="C15" s="144"/>
      <c r="D15" s="130"/>
      <c r="F15" s="135"/>
      <c r="G15" s="137"/>
      <c r="L15" s="33">
        <f t="shared" si="0"/>
        <v>0</v>
      </c>
    </row>
    <row r="16" spans="1:12">
      <c r="A16" s="128"/>
      <c r="B16" s="140"/>
      <c r="C16" s="144"/>
      <c r="D16" s="130"/>
      <c r="F16" s="135"/>
      <c r="G16" s="137"/>
      <c r="L16" s="33">
        <f t="shared" si="0"/>
        <v>0</v>
      </c>
    </row>
    <row r="17" spans="1:12">
      <c r="A17" s="127"/>
      <c r="B17" s="141"/>
      <c r="C17" s="146"/>
      <c r="D17" s="130"/>
      <c r="F17" s="135"/>
      <c r="G17" s="137"/>
      <c r="L17" s="33">
        <f t="shared" si="0"/>
        <v>0</v>
      </c>
    </row>
    <row r="18" spans="1:12">
      <c r="A18" s="126"/>
      <c r="B18" s="143"/>
      <c r="C18" s="147"/>
      <c r="D18" s="134"/>
      <c r="F18" s="135"/>
      <c r="G18" s="137"/>
      <c r="L18" s="33">
        <f t="shared" si="0"/>
        <v>0</v>
      </c>
    </row>
    <row r="19" spans="1:12">
      <c r="F19" s="135"/>
      <c r="G19" s="137"/>
      <c r="L19" s="33">
        <f>IF(A18&gt;0,"ТР",0)</f>
        <v>0</v>
      </c>
    </row>
    <row r="20" spans="1:12">
      <c r="A20" s="30"/>
      <c r="F20" s="135"/>
      <c r="G20" s="137"/>
      <c r="L20" s="33">
        <f t="shared" si="0"/>
        <v>0</v>
      </c>
    </row>
    <row r="21" spans="1:12">
      <c r="F21" s="135"/>
      <c r="G21" s="137"/>
      <c r="L21" s="33">
        <f t="shared" si="0"/>
        <v>0</v>
      </c>
    </row>
    <row r="22" spans="1:12">
      <c r="F22" s="135"/>
      <c r="G22" s="137"/>
      <c r="L22" s="33">
        <f t="shared" si="0"/>
        <v>0</v>
      </c>
    </row>
    <row r="23" spans="1:12">
      <c r="F23" s="135"/>
      <c r="G23" s="137"/>
      <c r="L23" s="33">
        <f t="shared" ref="L23:L31" si="1">IF(A23&gt;0,"ТР",0)</f>
        <v>0</v>
      </c>
    </row>
    <row r="24" spans="1:12">
      <c r="F24" s="135"/>
      <c r="G24" s="137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138" t="s">
        <v>174</v>
      </c>
      <c r="B39" s="139">
        <v>27860.6</v>
      </c>
      <c r="C39" s="38" t="s">
        <v>65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 по содержанию земельного участка  (уборка придомовой территории)</v>
      </c>
      <c r="N39" s="41">
        <f>B39</f>
        <v>27860.6</v>
      </c>
      <c r="O39" s="41" t="str">
        <f>C39</f>
        <v>В соответствии с графиком</v>
      </c>
      <c r="P39">
        <f>D39</f>
        <v>12</v>
      </c>
    </row>
    <row r="40" spans="1:16" ht="31.5" customHeight="1">
      <c r="A40" s="138" t="s">
        <v>175</v>
      </c>
      <c r="B40" s="139">
        <v>28292.760000000002</v>
      </c>
      <c r="C40" s="38" t="s">
        <v>65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помещений, входящих в состав общего имущества (уборка подъезда)</v>
      </c>
      <c r="N40" s="41">
        <f t="shared" ref="N40:N53" si="4">B40</f>
        <v>28292.760000000002</v>
      </c>
      <c r="O40" s="41" t="str">
        <f t="shared" ref="O40:O53" si="5">C40</f>
        <v>В соответствии с графиком</v>
      </c>
      <c r="P40">
        <f t="shared" ref="P40:P53" si="6">D40</f>
        <v>12</v>
      </c>
    </row>
    <row r="41" spans="1:16" ht="45">
      <c r="A41" s="138" t="s">
        <v>204</v>
      </c>
      <c r="B41" s="139">
        <v>48194.45</v>
      </c>
      <c r="C41" s="38" t="s">
        <v>64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 оборудования, систем инженерно-технического обеспечения и конструктивных элементов дома</v>
      </c>
      <c r="N41" s="41">
        <f t="shared" si="4"/>
        <v>48194.45</v>
      </c>
      <c r="O41" s="41" t="str">
        <f t="shared" si="5"/>
        <v>Ежемесячно</v>
      </c>
      <c r="P41">
        <f t="shared" si="6"/>
        <v>12</v>
      </c>
    </row>
    <row r="42" spans="1:16" ht="25.5">
      <c r="A42" s="138" t="s">
        <v>176</v>
      </c>
      <c r="B42" s="139">
        <v>17466.245999999999</v>
      </c>
      <c r="C42" s="38" t="s">
        <v>65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 по обеспечению вывоза бытовых отходов</v>
      </c>
      <c r="N42" s="41">
        <f t="shared" si="4"/>
        <v>17466.245999999999</v>
      </c>
      <c r="O42" s="41" t="str">
        <f t="shared" si="5"/>
        <v>В соответствии с графиком</v>
      </c>
      <c r="P42">
        <f t="shared" si="6"/>
        <v>12</v>
      </c>
    </row>
    <row r="43" spans="1:16" ht="30">
      <c r="A43" s="138" t="s">
        <v>177</v>
      </c>
      <c r="B43" s="139">
        <v>6834</v>
      </c>
      <c r="C43" s="38" t="s">
        <v>66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Обеспечение устранения аварий на внутридомовых инженерных системах</v>
      </c>
      <c r="N43" s="41">
        <f t="shared" si="4"/>
        <v>6834</v>
      </c>
      <c r="O43" s="41" t="str">
        <f t="shared" si="5"/>
        <v>Круглосуточно</v>
      </c>
      <c r="P43">
        <f t="shared" si="6"/>
        <v>12</v>
      </c>
    </row>
    <row r="44" spans="1:16" ht="30">
      <c r="A44" s="138" t="s">
        <v>22</v>
      </c>
      <c r="B44" s="139">
        <v>16128.24</v>
      </c>
      <c r="C44" s="38" t="s">
        <v>64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Работы, выполняемые для надлежащего содержания электрооборудования дома</v>
      </c>
      <c r="N44" s="41">
        <f t="shared" si="4"/>
        <v>16128.24</v>
      </c>
      <c r="O44" s="41" t="str">
        <f t="shared" si="5"/>
        <v>Ежемесячно</v>
      </c>
      <c r="P44">
        <f t="shared" si="6"/>
        <v>12</v>
      </c>
    </row>
    <row r="45" spans="1:16" ht="15.75">
      <c r="A45" s="138" t="s">
        <v>203</v>
      </c>
      <c r="B45" s="139">
        <v>68340</v>
      </c>
      <c r="C45" s="38" t="s">
        <v>64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Услуги и работы по управлению МКД</v>
      </c>
      <c r="N45" s="41">
        <f t="shared" si="4"/>
        <v>68340</v>
      </c>
      <c r="O45" s="41" t="str">
        <f t="shared" si="5"/>
        <v>Ежемесячно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1"/>
      <c r="E66" s="49"/>
      <c r="F66" s="50"/>
      <c r="G66" s="101"/>
      <c r="H66" s="101"/>
      <c r="I66" s="101"/>
      <c r="J66" s="101"/>
      <c r="M66" s="1"/>
    </row>
    <row r="67" spans="4:13" ht="18.75" customHeight="1">
      <c r="D67" s="101"/>
      <c r="E67" s="49"/>
      <c r="F67" s="50"/>
      <c r="G67" s="101"/>
      <c r="H67" s="101"/>
      <c r="I67" s="101"/>
      <c r="J67" s="101"/>
      <c r="M67" s="1"/>
    </row>
    <row r="68" spans="4:13" ht="18.75" customHeight="1">
      <c r="D68" s="101"/>
      <c r="E68" s="49"/>
      <c r="F68" s="50"/>
      <c r="G68" s="101"/>
      <c r="H68" s="101"/>
      <c r="I68" s="101"/>
      <c r="J68" s="101"/>
      <c r="M68" s="1"/>
    </row>
    <row r="69" spans="4:13" ht="18.75" customHeight="1">
      <c r="D69" s="101"/>
      <c r="E69" s="49"/>
      <c r="F69" s="50"/>
      <c r="G69" s="101"/>
      <c r="H69" s="101"/>
      <c r="I69" s="101"/>
      <c r="J69" s="101"/>
      <c r="M69" s="1"/>
    </row>
    <row r="70" spans="4:13" ht="18.75" customHeight="1">
      <c r="D70" s="101"/>
      <c r="E70" s="51"/>
      <c r="F70" s="52"/>
      <c r="G70" s="101"/>
      <c r="H70" s="101"/>
      <c r="I70" s="101"/>
      <c r="J70" s="101"/>
      <c r="M70" s="1"/>
    </row>
    <row r="71" spans="4:13" ht="18.75" customHeight="1">
      <c r="D71" s="101"/>
      <c r="E71" s="49"/>
      <c r="F71" s="50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L8" sqref="L8:L2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2" ht="15.75">
      <c r="A1" s="70"/>
      <c r="B1" s="71" t="s">
        <v>29</v>
      </c>
      <c r="E1" s="60" t="s">
        <v>172</v>
      </c>
      <c r="F1" s="60">
        <v>1139</v>
      </c>
      <c r="G1" s="122"/>
      <c r="H1" s="122"/>
      <c r="I1" s="122"/>
      <c r="J1" s="122"/>
      <c r="K1" s="122"/>
      <c r="L1" s="122"/>
    </row>
    <row r="2" spans="1:12" ht="15.75" customHeight="1">
      <c r="A2" s="70" t="s">
        <v>78</v>
      </c>
      <c r="B2" s="72" t="s">
        <v>2</v>
      </c>
      <c r="C2" s="83">
        <v>0</v>
      </c>
      <c r="D2" s="81" t="s">
        <v>54</v>
      </c>
      <c r="E2" s="117">
        <v>5.45</v>
      </c>
      <c r="F2" s="118" t="s">
        <v>173</v>
      </c>
      <c r="G2" s="123"/>
      <c r="H2" s="123"/>
      <c r="I2" s="123"/>
      <c r="J2" s="123"/>
      <c r="K2" s="124"/>
      <c r="L2" s="124"/>
    </row>
    <row r="3" spans="1:12" ht="15.75" customHeight="1">
      <c r="A3" s="70" t="s">
        <v>79</v>
      </c>
      <c r="B3" s="72" t="s">
        <v>3</v>
      </c>
      <c r="C3" s="79">
        <v>0</v>
      </c>
      <c r="D3" s="80" t="s">
        <v>55</v>
      </c>
      <c r="E3" s="61"/>
      <c r="F3" s="61"/>
      <c r="G3" s="61"/>
      <c r="H3" s="61"/>
      <c r="I3" s="61"/>
      <c r="J3" s="61"/>
    </row>
    <row r="4" spans="1:12" ht="15.75" customHeight="1">
      <c r="A4" s="70" t="s">
        <v>80</v>
      </c>
      <c r="B4" s="72" t="s">
        <v>4</v>
      </c>
      <c r="C4" s="83">
        <v>100272.29</v>
      </c>
      <c r="D4" s="81" t="s">
        <v>56</v>
      </c>
      <c r="E4" s="61"/>
      <c r="F4" s="61"/>
      <c r="G4" s="61"/>
      <c r="H4" s="61"/>
      <c r="I4" s="61"/>
      <c r="J4" s="61"/>
    </row>
    <row r="5" spans="1:12" ht="15.75" customHeight="1">
      <c r="A5" s="70" t="s">
        <v>81</v>
      </c>
      <c r="B5" s="72" t="s">
        <v>5</v>
      </c>
      <c r="C5" s="79">
        <f>SUM(C6:C8)</f>
        <v>260270.9</v>
      </c>
      <c r="D5" s="80" t="s">
        <v>55</v>
      </c>
      <c r="E5" s="61"/>
      <c r="F5" s="61"/>
      <c r="G5" s="61"/>
      <c r="H5" s="61"/>
      <c r="I5" s="61"/>
      <c r="J5" s="61"/>
    </row>
    <row r="6" spans="1:12" ht="15.75" customHeight="1">
      <c r="A6" s="70" t="s">
        <v>82</v>
      </c>
      <c r="B6" s="72" t="s">
        <v>6</v>
      </c>
      <c r="C6" s="83">
        <v>213116.3</v>
      </c>
      <c r="D6" s="81" t="s">
        <v>57</v>
      </c>
      <c r="E6" s="61"/>
      <c r="F6" s="61"/>
      <c r="G6" s="61"/>
      <c r="H6" s="61"/>
      <c r="I6" s="61"/>
      <c r="J6" s="61"/>
    </row>
    <row r="7" spans="1:12" ht="15.75" customHeight="1">
      <c r="A7" s="70" t="s">
        <v>83</v>
      </c>
      <c r="B7" s="72" t="s">
        <v>7</v>
      </c>
      <c r="C7" s="83">
        <v>47154.6</v>
      </c>
      <c r="D7" s="81" t="s">
        <v>58</v>
      </c>
      <c r="E7" s="61"/>
      <c r="F7" s="61"/>
      <c r="G7" s="61"/>
      <c r="H7" s="61"/>
      <c r="I7" s="61"/>
      <c r="J7" s="61"/>
    </row>
    <row r="8" spans="1:12" ht="15.75" customHeight="1">
      <c r="A8" s="70" t="s">
        <v>84</v>
      </c>
      <c r="B8" s="72" t="s">
        <v>8</v>
      </c>
      <c r="C8" s="83">
        <v>0</v>
      </c>
      <c r="D8" s="81" t="s">
        <v>59</v>
      </c>
      <c r="E8" s="61"/>
      <c r="F8" s="61"/>
      <c r="G8" s="61"/>
      <c r="H8" s="61"/>
      <c r="I8" s="61"/>
      <c r="J8" s="61"/>
    </row>
    <row r="9" spans="1:12" ht="15.75" customHeight="1">
      <c r="A9" s="70" t="s">
        <v>85</v>
      </c>
      <c r="B9" s="72" t="s">
        <v>9</v>
      </c>
      <c r="C9" s="79">
        <f>SUM(C10:C14)</f>
        <v>230880.58</v>
      </c>
      <c r="D9" s="80" t="s">
        <v>55</v>
      </c>
      <c r="E9" s="61"/>
      <c r="F9" s="61"/>
      <c r="G9" s="61"/>
      <c r="H9" s="61"/>
      <c r="I9" s="61"/>
      <c r="J9" s="61"/>
    </row>
    <row r="10" spans="1:12" ht="15.75" customHeight="1">
      <c r="A10" s="70" t="s">
        <v>86</v>
      </c>
      <c r="B10" s="72" t="s">
        <v>10</v>
      </c>
      <c r="C10" s="83">
        <v>230880.58</v>
      </c>
      <c r="D10" s="81" t="s">
        <v>60</v>
      </c>
      <c r="E10" s="61"/>
      <c r="F10" s="61"/>
      <c r="G10" s="61"/>
      <c r="H10" s="61"/>
      <c r="I10" s="61"/>
      <c r="J10" s="61"/>
    </row>
    <row r="11" spans="1:12" ht="15.75" customHeight="1">
      <c r="A11" s="70" t="s">
        <v>87</v>
      </c>
      <c r="B11" s="72" t="s">
        <v>11</v>
      </c>
      <c r="C11" s="83">
        <v>0</v>
      </c>
      <c r="D11" s="81" t="s">
        <v>60</v>
      </c>
      <c r="E11" s="61"/>
      <c r="F11" s="61"/>
      <c r="G11" s="61"/>
      <c r="H11" s="61"/>
      <c r="I11" s="61"/>
      <c r="J11" s="61"/>
    </row>
    <row r="12" spans="1:12" ht="15.75" customHeight="1">
      <c r="A12" s="70" t="s">
        <v>88</v>
      </c>
      <c r="B12" s="72" t="s">
        <v>12</v>
      </c>
      <c r="C12" s="83">
        <v>0</v>
      </c>
      <c r="D12" s="81" t="s">
        <v>60</v>
      </c>
      <c r="E12" s="61"/>
      <c r="F12" s="61"/>
      <c r="G12" s="61"/>
      <c r="H12" s="61"/>
      <c r="I12" s="61"/>
      <c r="J12" s="61"/>
    </row>
    <row r="13" spans="1:12" ht="15.75" customHeight="1">
      <c r="A13" s="70" t="s">
        <v>89</v>
      </c>
      <c r="B13" s="72" t="s">
        <v>13</v>
      </c>
      <c r="C13" s="83">
        <v>0</v>
      </c>
      <c r="D13" s="81" t="s">
        <v>60</v>
      </c>
      <c r="E13" s="61"/>
      <c r="F13" s="61"/>
      <c r="G13" s="61"/>
      <c r="H13" s="61"/>
      <c r="I13" s="61"/>
      <c r="J13" s="61"/>
    </row>
    <row r="14" spans="1:12" ht="15.75" customHeight="1">
      <c r="A14" s="70" t="s">
        <v>90</v>
      </c>
      <c r="B14" s="72" t="s">
        <v>14</v>
      </c>
      <c r="C14" s="83">
        <v>0</v>
      </c>
      <c r="D14" s="81" t="s">
        <v>60</v>
      </c>
      <c r="E14" s="61"/>
      <c r="F14" s="61"/>
      <c r="G14" s="61"/>
      <c r="H14" s="61"/>
      <c r="I14" s="61"/>
      <c r="J14" s="61"/>
    </row>
    <row r="15" spans="1:12" ht="15.75" customHeight="1">
      <c r="A15" s="70" t="s">
        <v>91</v>
      </c>
      <c r="B15" s="72" t="s">
        <v>15</v>
      </c>
      <c r="C15" s="79">
        <f>C9</f>
        <v>230880.58</v>
      </c>
      <c r="D15" s="80" t="s">
        <v>55</v>
      </c>
      <c r="E15" s="61"/>
      <c r="F15" s="61"/>
      <c r="G15" s="61"/>
      <c r="H15" s="61"/>
      <c r="I15" s="61"/>
      <c r="J15" s="61"/>
    </row>
    <row r="16" spans="1:12" ht="15.75" customHeight="1">
      <c r="A16" s="70" t="s">
        <v>92</v>
      </c>
      <c r="B16" s="72" t="s">
        <v>16</v>
      </c>
      <c r="C16" s="79">
        <f>IF(C2&gt;0,IF(C2+C9-C5&gt;0,C2+C9-C5,0),IF(C9-C5&gt;0,IF(C4+C5-C9&gt;0,0,C9-C5-C4),0))</f>
        <v>0</v>
      </c>
      <c r="D16" s="80" t="s">
        <v>55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93</v>
      </c>
      <c r="B17" s="72" t="s">
        <v>17</v>
      </c>
      <c r="C17" s="79">
        <v>0</v>
      </c>
      <c r="D17" s="80" t="s">
        <v>55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94</v>
      </c>
      <c r="B18" s="72" t="s">
        <v>18</v>
      </c>
      <c r="C18" s="79">
        <f>IF(C16&gt;0,0,IF(C4&gt;0,C4+C5-C9,C5-C2-C9))</f>
        <v>129662.61000000002</v>
      </c>
      <c r="D18" s="80" t="s">
        <v>55</v>
      </c>
      <c r="E18" s="61"/>
      <c r="F18" s="61"/>
      <c r="G18" s="61"/>
      <c r="H18" s="61"/>
      <c r="I18" s="61"/>
      <c r="J18" s="61"/>
    </row>
    <row r="19" spans="1:15" ht="18.75">
      <c r="A19" s="73" t="s">
        <v>157</v>
      </c>
      <c r="B19" s="74" t="s">
        <v>27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95</v>
      </c>
      <c r="B20" s="72" t="s">
        <v>23</v>
      </c>
      <c r="C20" s="84">
        <v>0</v>
      </c>
      <c r="D20" s="81" t="s">
        <v>63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96</v>
      </c>
      <c r="B21" s="72" t="s">
        <v>24</v>
      </c>
      <c r="C21" s="84">
        <v>0</v>
      </c>
      <c r="D21" s="81" t="s">
        <v>63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97</v>
      </c>
      <c r="B22" s="72" t="s">
        <v>25</v>
      </c>
      <c r="C22" s="84">
        <v>0</v>
      </c>
      <c r="D22" s="81" t="s">
        <v>63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98</v>
      </c>
      <c r="B23" s="72" t="s">
        <v>26</v>
      </c>
      <c r="C23" s="85">
        <v>0</v>
      </c>
      <c r="D23" s="81" t="s">
        <v>63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158</v>
      </c>
      <c r="B24" s="71" t="s">
        <v>30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99</v>
      </c>
      <c r="B25" s="75" t="s">
        <v>2</v>
      </c>
      <c r="C25" s="86">
        <v>0</v>
      </c>
      <c r="D25" s="81" t="s">
        <v>54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100</v>
      </c>
      <c r="B26" s="75" t="s">
        <v>3</v>
      </c>
      <c r="C26" s="82">
        <v>0</v>
      </c>
      <c r="D26" s="80" t="s">
        <v>55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101</v>
      </c>
      <c r="B27" s="75" t="s">
        <v>4</v>
      </c>
      <c r="C27" s="86">
        <v>46162.46</v>
      </c>
      <c r="D27" s="81" t="s">
        <v>56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102</v>
      </c>
      <c r="B28" s="75" t="s">
        <v>16</v>
      </c>
      <c r="C28" s="86">
        <v>0</v>
      </c>
      <c r="D28" s="81" t="s">
        <v>61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103</v>
      </c>
      <c r="B29" s="75" t="s">
        <v>17</v>
      </c>
      <c r="C29" s="82">
        <v>0</v>
      </c>
      <c r="D29" s="80" t="s">
        <v>55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104</v>
      </c>
      <c r="B30" s="75" t="s">
        <v>18</v>
      </c>
      <c r="C30" s="86">
        <v>3641.66</v>
      </c>
      <c r="D30" s="81" t="s">
        <v>62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105</v>
      </c>
      <c r="B31" s="75" t="s">
        <v>23</v>
      </c>
      <c r="C31" s="87">
        <v>0</v>
      </c>
      <c r="D31" s="81" t="s">
        <v>63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106</v>
      </c>
      <c r="B32" s="75" t="s">
        <v>24</v>
      </c>
      <c r="C32" s="87">
        <v>0</v>
      </c>
      <c r="D32" s="81" t="s">
        <v>63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107</v>
      </c>
      <c r="B33" s="75" t="s">
        <v>25</v>
      </c>
      <c r="C33" s="87">
        <v>0</v>
      </c>
      <c r="D33" s="81" t="s">
        <v>63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108</v>
      </c>
      <c r="B34" s="75" t="s">
        <v>26</v>
      </c>
      <c r="C34" s="88">
        <v>0</v>
      </c>
      <c r="D34" s="81" t="s">
        <v>63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159</v>
      </c>
      <c r="B35" s="71" t="s">
        <v>31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160</v>
      </c>
      <c r="B36" s="76" t="s">
        <v>44</v>
      </c>
      <c r="C36" s="92" t="s">
        <v>45</v>
      </c>
      <c r="D36" s="76" t="s">
        <v>46</v>
      </c>
      <c r="E36" s="76" t="s">
        <v>47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116</v>
      </c>
      <c r="B37" s="77" t="s">
        <v>49</v>
      </c>
      <c r="C37" s="96">
        <f>IF(E37&gt;0,"Предоставляется",0)</f>
        <v>0</v>
      </c>
      <c r="D37" s="96" t="s">
        <v>48</v>
      </c>
      <c r="E37" s="95">
        <v>0</v>
      </c>
      <c r="F37" s="94" t="s">
        <v>163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109</v>
      </c>
      <c r="B38" s="78" t="s">
        <v>33</v>
      </c>
      <c r="C38" s="90">
        <v>0</v>
      </c>
      <c r="D38" s="94" t="s">
        <v>161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110</v>
      </c>
      <c r="B39" s="78" t="s">
        <v>34</v>
      </c>
      <c r="C39" s="91">
        <v>0</v>
      </c>
      <c r="D39" s="94" t="s">
        <v>162</v>
      </c>
      <c r="E39" s="68"/>
      <c r="G39" s="67"/>
      <c r="H39" s="67"/>
      <c r="L39" s="63"/>
      <c r="M39" s="189"/>
      <c r="N39" s="63"/>
      <c r="O39" s="63"/>
    </row>
    <row r="40" spans="1:15" ht="18.75" customHeight="1">
      <c r="A40" s="70" t="s">
        <v>111</v>
      </c>
      <c r="B40" s="78" t="s">
        <v>35</v>
      </c>
      <c r="C40" s="93">
        <f>IF(E37-C39&lt;0,0,E37-C39)</f>
        <v>0</v>
      </c>
      <c r="D40" s="80" t="s">
        <v>55</v>
      </c>
      <c r="E40" s="68"/>
      <c r="G40" s="67"/>
      <c r="H40" s="67"/>
      <c r="L40" s="63"/>
      <c r="M40" s="189"/>
      <c r="N40" s="63"/>
      <c r="O40" s="63"/>
    </row>
    <row r="41" spans="1:15" ht="18.75" customHeight="1">
      <c r="A41" s="70" t="s">
        <v>112</v>
      </c>
      <c r="B41" s="78" t="s">
        <v>36</v>
      </c>
      <c r="C41" s="93">
        <f>E37</f>
        <v>0</v>
      </c>
      <c r="D41" s="80" t="s">
        <v>55</v>
      </c>
      <c r="E41" s="68"/>
      <c r="G41" s="67"/>
      <c r="H41" s="67"/>
      <c r="L41" s="63"/>
      <c r="M41" s="189"/>
      <c r="N41" s="63"/>
      <c r="O41" s="63"/>
    </row>
    <row r="42" spans="1:15" ht="18.75" customHeight="1">
      <c r="A42" s="70" t="s">
        <v>113</v>
      </c>
      <c r="B42" s="78" t="s">
        <v>37</v>
      </c>
      <c r="C42" s="93">
        <f>E37</f>
        <v>0</v>
      </c>
      <c r="D42" s="80" t="s">
        <v>55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114</v>
      </c>
      <c r="B43" s="78" t="s">
        <v>38</v>
      </c>
      <c r="C43" s="93">
        <f>IF(C41-C42&lt;=0,,C41-C42)</f>
        <v>0</v>
      </c>
      <c r="D43" s="80" t="s">
        <v>55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115</v>
      </c>
      <c r="B44" s="78" t="s">
        <v>39</v>
      </c>
      <c r="C44" s="93">
        <v>0</v>
      </c>
      <c r="D44" s="80" t="s">
        <v>55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117</v>
      </c>
      <c r="B45" s="77" t="s">
        <v>50</v>
      </c>
      <c r="C45" s="96" t="str">
        <f>IF(E45&gt;0,"Предоставляется",0)</f>
        <v>Предоставляется</v>
      </c>
      <c r="D45" s="96" t="s">
        <v>51</v>
      </c>
      <c r="E45" s="95">
        <v>26541.78</v>
      </c>
      <c r="F45" s="94" t="s">
        <v>163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118</v>
      </c>
      <c r="B46" s="78" t="s">
        <v>33</v>
      </c>
      <c r="C46" s="90">
        <v>2093.1999999999998</v>
      </c>
      <c r="D46" s="94" t="s">
        <v>164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119</v>
      </c>
      <c r="B47" s="78" t="s">
        <v>34</v>
      </c>
      <c r="C47" s="91">
        <v>23533.09</v>
      </c>
      <c r="D47" s="94" t="s">
        <v>162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120</v>
      </c>
      <c r="B48" s="78" t="s">
        <v>35</v>
      </c>
      <c r="C48" s="93">
        <f>IF(E45-C47&lt;0,0,E45-C47)</f>
        <v>3008.6899999999987</v>
      </c>
      <c r="D48" s="80" t="s">
        <v>55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121</v>
      </c>
      <c r="B49" s="78" t="s">
        <v>36</v>
      </c>
      <c r="C49" s="93">
        <f>E45</f>
        <v>26541.78</v>
      </c>
      <c r="D49" s="80" t="s">
        <v>55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122</v>
      </c>
      <c r="B50" s="78" t="s">
        <v>37</v>
      </c>
      <c r="C50" s="93">
        <f>E45</f>
        <v>26541.78</v>
      </c>
      <c r="D50" s="80" t="s">
        <v>55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123</v>
      </c>
      <c r="B51" s="78" t="s">
        <v>38</v>
      </c>
      <c r="C51" s="93">
        <f>IF(C49-C50&lt;=0,,C49-C50)</f>
        <v>0</v>
      </c>
      <c r="D51" s="80" t="s">
        <v>55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124</v>
      </c>
      <c r="B52" s="78" t="s">
        <v>39</v>
      </c>
      <c r="C52" s="93">
        <v>0</v>
      </c>
      <c r="D52" s="80" t="s">
        <v>55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125</v>
      </c>
      <c r="B53" s="77" t="s">
        <v>52</v>
      </c>
      <c r="C53" s="96" t="str">
        <f>IF(E53&gt;0,"Предоставляется",0)</f>
        <v>Предоставляется</v>
      </c>
      <c r="D53" s="96" t="s">
        <v>51</v>
      </c>
      <c r="E53" s="95">
        <v>48863.92</v>
      </c>
      <c r="F53" s="94" t="s">
        <v>163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126</v>
      </c>
      <c r="B54" s="75" t="s">
        <v>33</v>
      </c>
      <c r="C54" s="98">
        <v>3598.23</v>
      </c>
      <c r="D54" s="94" t="s">
        <v>164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127</v>
      </c>
      <c r="B55" s="75" t="s">
        <v>34</v>
      </c>
      <c r="C55" s="86">
        <v>43324.87</v>
      </c>
      <c r="D55" s="94" t="s">
        <v>162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128</v>
      </c>
      <c r="B56" s="75" t="s">
        <v>35</v>
      </c>
      <c r="C56" s="93">
        <f>IF(E53-C55&lt;0,0,E53-C55)</f>
        <v>5539.0499999999956</v>
      </c>
      <c r="D56" s="80" t="s">
        <v>55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129</v>
      </c>
      <c r="B57" s="75" t="s">
        <v>36</v>
      </c>
      <c r="C57" s="93">
        <f>E53</f>
        <v>48863.92</v>
      </c>
      <c r="D57" s="80" t="s">
        <v>55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130</v>
      </c>
      <c r="B58" s="75" t="s">
        <v>37</v>
      </c>
      <c r="C58" s="93">
        <f>E53</f>
        <v>48863.92</v>
      </c>
      <c r="D58" s="80" t="s">
        <v>55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131</v>
      </c>
      <c r="B59" s="75" t="s">
        <v>38</v>
      </c>
      <c r="C59" s="93">
        <f>IF(C57-C58&lt;=0,,C57-C58)</f>
        <v>0</v>
      </c>
      <c r="D59" s="80" t="s">
        <v>55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132</v>
      </c>
      <c r="B60" s="75" t="s">
        <v>39</v>
      </c>
      <c r="C60" s="93">
        <v>0</v>
      </c>
      <c r="D60" s="80" t="s">
        <v>55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133</v>
      </c>
      <c r="B61" s="77" t="s">
        <v>74</v>
      </c>
      <c r="C61" s="96">
        <f>IF(E61&gt;0,"Предоставляется",0)</f>
        <v>0</v>
      </c>
      <c r="D61" s="96" t="s">
        <v>51</v>
      </c>
      <c r="E61" s="95">
        <v>0</v>
      </c>
      <c r="F61" s="94" t="s">
        <v>163</v>
      </c>
      <c r="G61" s="66"/>
      <c r="H61" s="66"/>
    </row>
    <row r="62" spans="1:15" ht="15.75" customHeight="1">
      <c r="A62" s="73" t="s">
        <v>134</v>
      </c>
      <c r="B62" s="75" t="s">
        <v>33</v>
      </c>
      <c r="C62" s="98">
        <v>255</v>
      </c>
      <c r="D62" s="94" t="s">
        <v>164</v>
      </c>
      <c r="E62" s="69"/>
      <c r="G62" s="64"/>
      <c r="H62" s="64"/>
    </row>
    <row r="63" spans="1:15" ht="15.75" customHeight="1">
      <c r="A63" s="73" t="s">
        <v>135</v>
      </c>
      <c r="B63" s="75" t="s">
        <v>34</v>
      </c>
      <c r="C63" s="86">
        <v>140000</v>
      </c>
      <c r="D63" s="94" t="s">
        <v>162</v>
      </c>
      <c r="E63" s="69"/>
      <c r="G63" s="64"/>
      <c r="H63" s="64"/>
    </row>
    <row r="64" spans="1:15" ht="15.75" customHeight="1">
      <c r="A64" s="73" t="s">
        <v>136</v>
      </c>
      <c r="B64" s="75" t="s">
        <v>35</v>
      </c>
      <c r="C64" s="93">
        <f>IF(E61-C63&lt;0,0,E61-C63)</f>
        <v>0</v>
      </c>
      <c r="D64" s="80" t="s">
        <v>55</v>
      </c>
      <c r="E64" s="69"/>
      <c r="G64" s="64"/>
      <c r="H64" s="64"/>
    </row>
    <row r="65" spans="1:8" ht="15.75" customHeight="1">
      <c r="A65" s="73" t="s">
        <v>137</v>
      </c>
      <c r="B65" s="75" t="s">
        <v>36</v>
      </c>
      <c r="C65" s="93">
        <f>E61</f>
        <v>0</v>
      </c>
      <c r="D65" s="80" t="s">
        <v>55</v>
      </c>
      <c r="E65" s="69"/>
      <c r="G65" s="64"/>
      <c r="H65" s="64"/>
    </row>
    <row r="66" spans="1:8" ht="15.75" customHeight="1">
      <c r="A66" s="73" t="s">
        <v>138</v>
      </c>
      <c r="B66" s="75" t="s">
        <v>37</v>
      </c>
      <c r="C66" s="93">
        <f>E61</f>
        <v>0</v>
      </c>
      <c r="D66" s="80" t="s">
        <v>55</v>
      </c>
      <c r="E66" s="69"/>
      <c r="G66" s="64"/>
      <c r="H66" s="64"/>
    </row>
    <row r="67" spans="1:8" ht="15.75" customHeight="1">
      <c r="A67" s="73" t="s">
        <v>139</v>
      </c>
      <c r="B67" s="75" t="s">
        <v>38</v>
      </c>
      <c r="C67" s="93">
        <f>IF(C65-C66&lt;=0,,C65-C66)</f>
        <v>0</v>
      </c>
      <c r="D67" s="80" t="s">
        <v>55</v>
      </c>
      <c r="E67" s="69"/>
      <c r="G67" s="64"/>
      <c r="H67" s="64"/>
    </row>
    <row r="68" spans="1:8" ht="15.75" customHeight="1">
      <c r="A68" s="73" t="s">
        <v>140</v>
      </c>
      <c r="B68" s="75" t="s">
        <v>39</v>
      </c>
      <c r="C68" s="93">
        <v>0</v>
      </c>
      <c r="D68" s="80" t="s">
        <v>55</v>
      </c>
      <c r="E68" s="69"/>
      <c r="G68" s="64"/>
      <c r="H68" s="64"/>
    </row>
    <row r="69" spans="1:8" ht="15.75">
      <c r="A69" s="73" t="s">
        <v>141</v>
      </c>
      <c r="B69" s="77" t="s">
        <v>75</v>
      </c>
      <c r="C69" s="96">
        <f>IF(E69&gt;0,"Предоставляется",0)</f>
        <v>0</v>
      </c>
      <c r="D69" s="96" t="s">
        <v>51</v>
      </c>
      <c r="E69" s="95">
        <v>0</v>
      </c>
      <c r="F69" s="94" t="s">
        <v>163</v>
      </c>
      <c r="G69" s="66"/>
      <c r="H69" s="66"/>
    </row>
    <row r="70" spans="1:8" ht="15.75" customHeight="1">
      <c r="A70" s="73" t="s">
        <v>142</v>
      </c>
      <c r="B70" s="75" t="s">
        <v>33</v>
      </c>
      <c r="C70" s="98">
        <v>0</v>
      </c>
      <c r="D70" s="94" t="s">
        <v>164</v>
      </c>
      <c r="E70" s="69"/>
      <c r="G70" s="64"/>
      <c r="H70" s="64"/>
    </row>
    <row r="71" spans="1:8" ht="15.75" customHeight="1">
      <c r="A71" s="73" t="s">
        <v>143</v>
      </c>
      <c r="B71" s="75" t="s">
        <v>34</v>
      </c>
      <c r="C71" s="86">
        <v>0</v>
      </c>
      <c r="D71" s="94" t="s">
        <v>162</v>
      </c>
      <c r="E71" s="69"/>
      <c r="G71" s="64"/>
      <c r="H71" s="64"/>
    </row>
    <row r="72" spans="1:8" ht="15.75" customHeight="1">
      <c r="A72" s="73" t="s">
        <v>144</v>
      </c>
      <c r="B72" s="75" t="s">
        <v>35</v>
      </c>
      <c r="C72" s="93">
        <f>IF(E69-C71&lt;0,0,E69-C71)</f>
        <v>0</v>
      </c>
      <c r="D72" s="80" t="s">
        <v>55</v>
      </c>
      <c r="E72" s="69"/>
      <c r="G72" s="64"/>
      <c r="H72" s="64"/>
    </row>
    <row r="73" spans="1:8" ht="15.75" customHeight="1">
      <c r="A73" s="73" t="s">
        <v>145</v>
      </c>
      <c r="B73" s="75" t="s">
        <v>36</v>
      </c>
      <c r="C73" s="93">
        <f>E69</f>
        <v>0</v>
      </c>
      <c r="D73" s="80" t="s">
        <v>55</v>
      </c>
      <c r="E73" s="69"/>
      <c r="G73" s="64"/>
      <c r="H73" s="64"/>
    </row>
    <row r="74" spans="1:8" ht="15.75" customHeight="1">
      <c r="A74" s="73" t="s">
        <v>146</v>
      </c>
      <c r="B74" s="75" t="s">
        <v>37</v>
      </c>
      <c r="C74" s="93">
        <f>E69</f>
        <v>0</v>
      </c>
      <c r="D74" s="80" t="s">
        <v>55</v>
      </c>
      <c r="E74" s="69"/>
      <c r="G74" s="64"/>
      <c r="H74" s="64"/>
    </row>
    <row r="75" spans="1:8" ht="15.75" customHeight="1">
      <c r="A75" s="73" t="s">
        <v>147</v>
      </c>
      <c r="B75" s="75" t="s">
        <v>38</v>
      </c>
      <c r="C75" s="93">
        <f>IF(C73-C74&lt;=0,,C73-C74)</f>
        <v>0</v>
      </c>
      <c r="D75" s="80" t="s">
        <v>55</v>
      </c>
      <c r="E75" s="69"/>
      <c r="G75" s="64"/>
      <c r="H75" s="64"/>
    </row>
    <row r="76" spans="1:8" ht="15.75" customHeight="1">
      <c r="A76" s="73" t="s">
        <v>148</v>
      </c>
      <c r="B76" s="75" t="s">
        <v>39</v>
      </c>
      <c r="C76" s="93">
        <v>0</v>
      </c>
      <c r="D76" s="80" t="s">
        <v>55</v>
      </c>
      <c r="E76" s="69"/>
      <c r="G76" s="64"/>
      <c r="H76" s="64"/>
    </row>
    <row r="77" spans="1:8" ht="15.75">
      <c r="A77" s="73" t="s">
        <v>149</v>
      </c>
      <c r="B77" s="77" t="s">
        <v>76</v>
      </c>
      <c r="C77" s="96">
        <f>IF(E77&gt;0,"Предоставляется",0)</f>
        <v>0</v>
      </c>
      <c r="D77" s="96" t="s">
        <v>77</v>
      </c>
      <c r="E77" s="95">
        <v>0</v>
      </c>
      <c r="F77" s="94" t="s">
        <v>163</v>
      </c>
      <c r="G77" s="66"/>
      <c r="H77" s="66"/>
    </row>
    <row r="78" spans="1:8" ht="15.75" customHeight="1">
      <c r="A78" s="73" t="s">
        <v>150</v>
      </c>
      <c r="B78" s="75" t="s">
        <v>33</v>
      </c>
      <c r="C78" s="98">
        <v>0</v>
      </c>
      <c r="D78" s="94" t="s">
        <v>165</v>
      </c>
      <c r="E78" s="64"/>
      <c r="G78" s="64"/>
      <c r="H78" s="64"/>
    </row>
    <row r="79" spans="1:8" ht="15.75" customHeight="1">
      <c r="A79" s="73" t="s">
        <v>151</v>
      </c>
      <c r="B79" s="75" t="s">
        <v>34</v>
      </c>
      <c r="C79" s="86">
        <v>0</v>
      </c>
      <c r="D79" s="94" t="s">
        <v>162</v>
      </c>
      <c r="E79" s="64"/>
      <c r="G79" s="64"/>
      <c r="H79" s="64"/>
    </row>
    <row r="80" spans="1:8" ht="15.75" customHeight="1">
      <c r="A80" s="73" t="s">
        <v>152</v>
      </c>
      <c r="B80" s="75" t="s">
        <v>35</v>
      </c>
      <c r="C80" s="93">
        <f>IF(E77-C79&lt;0,0,E77-C79)</f>
        <v>0</v>
      </c>
      <c r="D80" s="80" t="s">
        <v>55</v>
      </c>
      <c r="E80" s="64"/>
      <c r="G80" s="64"/>
      <c r="H80" s="64"/>
    </row>
    <row r="81" spans="1:8" ht="15.75" customHeight="1">
      <c r="A81" s="73" t="s">
        <v>153</v>
      </c>
      <c r="B81" s="75" t="s">
        <v>36</v>
      </c>
      <c r="C81" s="93">
        <f>E77</f>
        <v>0</v>
      </c>
      <c r="D81" s="80" t="s">
        <v>55</v>
      </c>
      <c r="E81" s="64"/>
      <c r="G81" s="64"/>
      <c r="H81" s="64"/>
    </row>
    <row r="82" spans="1:8" ht="15.75" customHeight="1">
      <c r="A82" s="73" t="s">
        <v>154</v>
      </c>
      <c r="B82" s="75" t="s">
        <v>37</v>
      </c>
      <c r="C82" s="93">
        <f>E77</f>
        <v>0</v>
      </c>
      <c r="D82" s="80" t="s">
        <v>55</v>
      </c>
      <c r="E82" s="64"/>
      <c r="G82" s="64"/>
      <c r="H82" s="64"/>
    </row>
    <row r="83" spans="1:8" ht="15.75" customHeight="1">
      <c r="A83" s="73" t="s">
        <v>155</v>
      </c>
      <c r="B83" s="75" t="s">
        <v>38</v>
      </c>
      <c r="C83" s="93">
        <f>IF(C81-C82&lt;=0,,C81-C82)</f>
        <v>0</v>
      </c>
      <c r="D83" s="80" t="s">
        <v>55</v>
      </c>
      <c r="E83" s="64"/>
      <c r="G83" s="64"/>
      <c r="H83" s="64"/>
    </row>
    <row r="84" spans="1:8" ht="15.75" customHeight="1">
      <c r="A84" s="73" t="s">
        <v>156</v>
      </c>
      <c r="B84" s="75" t="s">
        <v>39</v>
      </c>
      <c r="C84" s="93">
        <v>0</v>
      </c>
      <c r="D84" s="80" t="s">
        <v>55</v>
      </c>
      <c r="E84" s="64"/>
      <c r="G84" s="64"/>
      <c r="H84" s="64"/>
    </row>
  </sheetData>
  <sheetProtection algorithmName="SHA-512" hashValue="CF+t1E2KLjCQ5uOdEhlfH/K90QOxUprqI9W+4Z8ozMWYtt8/PZjs+uLdF8zPntgwHrRwh2CMOboB5PNi4Jur2Q==" saltValue="HCVe5YDS2mNvkbFqh9c8r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40</v>
      </c>
      <c r="C1" s="58"/>
      <c r="D1" s="58"/>
      <c r="E1" s="63"/>
      <c r="F1" s="63"/>
      <c r="G1" s="63"/>
      <c r="H1" s="63"/>
      <c r="I1" s="63"/>
      <c r="J1" s="63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166</v>
      </c>
      <c r="B2" s="59" t="s">
        <v>41</v>
      </c>
      <c r="C2" s="104">
        <v>0</v>
      </c>
      <c r="D2" s="106" t="s">
        <v>63</v>
      </c>
      <c r="E2" s="64"/>
      <c r="F2" s="64"/>
      <c r="G2" s="64"/>
      <c r="H2" s="64"/>
      <c r="I2" s="64"/>
      <c r="J2" s="64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167</v>
      </c>
      <c r="B3" s="59" t="s">
        <v>42</v>
      </c>
      <c r="C3" s="104">
        <v>0</v>
      </c>
      <c r="D3" s="106" t="s">
        <v>63</v>
      </c>
      <c r="E3" s="64"/>
      <c r="F3" s="64"/>
      <c r="G3" s="64"/>
      <c r="H3" s="64"/>
      <c r="I3" s="64"/>
      <c r="J3" s="64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168</v>
      </c>
      <c r="B4" s="59" t="s">
        <v>43</v>
      </c>
      <c r="C4" s="105">
        <v>0</v>
      </c>
      <c r="D4" s="106" t="s">
        <v>63</v>
      </c>
      <c r="E4" s="64"/>
      <c r="F4" s="64"/>
      <c r="G4" s="64"/>
      <c r="H4" s="64"/>
      <c r="I4" s="64"/>
      <c r="J4" s="64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2019-11-22T07:15:48Z</dcterms:modified>
</cp:coreProperties>
</file>